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E5BA" lockStructure="1"/>
  <bookViews>
    <workbookView xWindow="120" yWindow="105" windowWidth="28515" windowHeight="12600" firstSheet="2" activeTab="2"/>
  </bookViews>
  <sheets>
    <sheet name="Fiche de calcul" sheetId="1" state="hidden" r:id="rId1"/>
    <sheet name="Paramètres" sheetId="2" state="hidden" r:id="rId2"/>
    <sheet name="calcul du tarif d'inscription" sheetId="3" r:id="rId3"/>
    <sheet name="Tarifs" sheetId="4" r:id="rId4"/>
    <sheet name="Liste versions" sheetId="5" state="hidden" r:id="rId5"/>
  </sheets>
  <definedNames>
    <definedName name="Adhesion">Paramètres!$A$1:$C$3</definedName>
    <definedName name="Adhesion_Hors_Thouare">Paramètres!$C$3</definedName>
    <definedName name="Adhesion_Thouare">Paramètres!$C$2</definedName>
    <definedName name="Erreur_Eleve1">Paramètres!$N$2</definedName>
    <definedName name="Erreur_Eleve2">Paramètres!$N$6</definedName>
    <definedName name="Erreur_Eleve3">Paramètres!$N$10</definedName>
    <definedName name="Erreur_Eleve4">Paramètres!$N$14</definedName>
    <definedName name="Erreur_Eleve5">Paramètres!$N$18</definedName>
    <definedName name="Erreur_Ville">'Fiche de calcul'!$M$3</definedName>
    <definedName name="FM">Paramètres!$I$2:$I$5</definedName>
    <definedName name="Indice_Residence">'Fiche de calcul'!$D$3</definedName>
    <definedName name="Liste_FM">Paramètres!$B$4:$B$13</definedName>
    <definedName name="Liste_Pratique_Col">Paramètres!$E$3:$E$17</definedName>
    <definedName name="Liste_Pratique_Individuelle">Paramètres!$B$14:$B$24</definedName>
    <definedName name="Nb_Prat_individuelle">'Fiche de calcul'!$M$5</definedName>
    <definedName name="Ristourne">'Fiche de calcul'!$B$9</definedName>
    <definedName name="Tarif_Adhesion_N_Thouare">Tarifs!$B$22</definedName>
    <definedName name="Tarif_Adhesion_Thouare">Tarifs!$B$4</definedName>
    <definedName name="Tarif_Eveil_N_Thouare">Tarifs!$B$24</definedName>
    <definedName name="Tarif_Eveil_Thouare">Tarifs!$B$6</definedName>
    <definedName name="Tarif_FM_N_Thouare">Tarifs!$B$25</definedName>
    <definedName name="Tarif_FM_Thouare">Tarifs!$B$7</definedName>
    <definedName name="Tarif_Inst_FM_N_Thouare">Tarifs!$B$27</definedName>
    <definedName name="Tarif_Inst_FM_Thouare">Tarifs!$B$9</definedName>
    <definedName name="Tarif_Inst_seul_N_Thouare">Tarifs!$B$28</definedName>
    <definedName name="Tarif_Inst_seul_Thouare">Tarifs!$B$10</definedName>
    <definedName name="Tarif_Prat_Coll_seule_N_Thouare">Tarifs!$B$34</definedName>
    <definedName name="Tarif_Prat_Coll_seule_Thouare">Tarifs!$B$16</definedName>
    <definedName name="Tarif_Prat_Coll_Suppl_N_Thouare">Tarifs!$B$35</definedName>
    <definedName name="Tarif_Prat_Coll_Suppl_Thouare">Tarifs!$B$17</definedName>
    <definedName name="Tarifs_Non_Thoureens">Paramètres!$B$26:$C$46</definedName>
    <definedName name="Trad_Err_Eleve1">Paramètres!$K$2:$M$5</definedName>
    <definedName name="Trad_Err_Eleve2">Paramètres!$K$6:$M$9</definedName>
    <definedName name="Trad_Err_Eleve3">Paramètres!$K$10:$M$13</definedName>
    <definedName name="Trad_Err_Eleve4">Paramètres!$K$14:$M$17</definedName>
    <definedName name="Trad_Err_Eleve5">Paramètres!$K$18:$M$21</definedName>
    <definedName name="Trad_FM">Paramètres!$I$1:$J$5</definedName>
    <definedName name="Trad_Residence">Paramètres!$G$1:$H$3</definedName>
    <definedName name="Trad_Tarif_Ens_NonThouareens">Paramètres!$E$19:$F$33</definedName>
    <definedName name="Trad_Tarif_Ens_Thouareens">Paramètres!$E$3:$F$17</definedName>
    <definedName name="Trad_Tarif_FM_NonThouareen">Paramètres!$B$25:$C$35</definedName>
    <definedName name="Trad_Tarif_FM_Thouareen">Paramètres!$B$4:$C$13</definedName>
    <definedName name="Trad_Tarif_Instru_NonThouareen">Paramètres!$B$25:$C$46</definedName>
    <definedName name="Trad_Tarif_Instru_Thouareen">Paramètres!$B$4:$C$24</definedName>
    <definedName name="VAl_Inscription">'Fiche de calcul'!$C$12</definedName>
    <definedName name="Val_Pratique_Col">'Fiche de calcul'!$C$20</definedName>
    <definedName name="Ville_Residence">Paramètres!$G$2:$G$3</definedName>
  </definedNames>
  <calcPr calcId="145621"/>
</workbook>
</file>

<file path=xl/calcChain.xml><?xml version="1.0" encoding="utf-8"?>
<calcChain xmlns="http://schemas.openxmlformats.org/spreadsheetml/2006/main">
  <c r="C46" i="2" l="1"/>
  <c r="C45" i="2"/>
  <c r="C44" i="2"/>
  <c r="C40" i="2"/>
  <c r="C39" i="2"/>
  <c r="C38" i="2"/>
  <c r="C24" i="2"/>
  <c r="C23" i="2"/>
  <c r="C22" i="2"/>
  <c r="C18" i="2"/>
  <c r="C17" i="2"/>
  <c r="C16" i="2"/>
  <c r="F31" i="2" l="1"/>
  <c r="F32" i="2" s="1"/>
  <c r="F33" i="2" s="1"/>
  <c r="F30" i="2"/>
  <c r="F22" i="2"/>
  <c r="F23" i="2" s="1"/>
  <c r="F24" i="2" s="1"/>
  <c r="F25" i="2" s="1"/>
  <c r="F26" i="2" s="1"/>
  <c r="F27" i="2" s="1"/>
  <c r="F28" i="2" s="1"/>
  <c r="F21" i="2"/>
  <c r="F15" i="2"/>
  <c r="F16" i="2" s="1"/>
  <c r="F17" i="2" s="1"/>
  <c r="F14" i="2"/>
  <c r="F7" i="2"/>
  <c r="F8" i="2" s="1"/>
  <c r="F9" i="2" s="1"/>
  <c r="F10" i="2" s="1"/>
  <c r="F11" i="2" s="1"/>
  <c r="F12" i="2" s="1"/>
  <c r="F6" i="2"/>
  <c r="F5" i="2"/>
  <c r="F29" i="2"/>
  <c r="F20" i="2"/>
  <c r="F13" i="2"/>
  <c r="F4" i="2"/>
  <c r="C41" i="2"/>
  <c r="C36" i="2"/>
  <c r="C31" i="2"/>
  <c r="C26" i="2"/>
  <c r="C19" i="2"/>
  <c r="C14" i="2"/>
  <c r="C10" i="2"/>
  <c r="C5" i="2"/>
  <c r="C3" i="2"/>
  <c r="C2" i="2"/>
  <c r="B13" i="4" l="1"/>
  <c r="B32" i="4"/>
  <c r="B29" i="4" l="1"/>
  <c r="B30" i="4"/>
  <c r="B31" i="4"/>
  <c r="B14" i="4"/>
  <c r="B11" i="4"/>
  <c r="B12" i="4"/>
  <c r="C20" i="2"/>
  <c r="C42" i="2"/>
  <c r="C8" i="2"/>
  <c r="C43" i="2" l="1"/>
  <c r="K7" i="1" l="1"/>
  <c r="I7" i="1"/>
  <c r="G7" i="1"/>
  <c r="E7" i="1"/>
  <c r="C3" i="1" l="1"/>
  <c r="K6" i="1"/>
  <c r="K5" i="1"/>
  <c r="K4" i="1"/>
  <c r="L4" i="1" s="1"/>
  <c r="I6" i="1"/>
  <c r="I5" i="1"/>
  <c r="I4" i="1"/>
  <c r="J4" i="1" s="1"/>
  <c r="G6" i="1"/>
  <c r="G5" i="1"/>
  <c r="G4" i="1"/>
  <c r="H4" i="1" s="1"/>
  <c r="E6" i="1"/>
  <c r="E5" i="1"/>
  <c r="E4" i="1"/>
  <c r="F4" i="1" s="1"/>
  <c r="C7" i="1"/>
  <c r="C6" i="1"/>
  <c r="C5" i="1"/>
  <c r="C4" i="1"/>
  <c r="D4" i="1" s="1"/>
  <c r="D32" i="3"/>
  <c r="E32" i="3"/>
  <c r="F32" i="3"/>
  <c r="G32" i="3"/>
  <c r="H32" i="3"/>
  <c r="I32" i="3"/>
  <c r="J32" i="3"/>
  <c r="K32" i="3"/>
  <c r="D33" i="3"/>
  <c r="E33" i="3"/>
  <c r="G33" i="3"/>
  <c r="H33" i="3"/>
  <c r="J33" i="3"/>
  <c r="K33" i="3"/>
  <c r="L6" i="1" l="1"/>
  <c r="J6" i="1"/>
  <c r="H6" i="1"/>
  <c r="D6" i="1"/>
  <c r="M5" i="1"/>
  <c r="B9" i="1" s="1"/>
  <c r="M3" i="1"/>
  <c r="K10" i="1" s="1"/>
  <c r="F6" i="1"/>
  <c r="L5" i="1"/>
  <c r="J5" i="1"/>
  <c r="H5" i="1"/>
  <c r="F5" i="1"/>
  <c r="D5" i="1"/>
  <c r="M6" i="1" l="1"/>
  <c r="C10" i="1"/>
  <c r="I10" i="1"/>
  <c r="E10" i="1"/>
  <c r="N6" i="2" s="1"/>
  <c r="O6" i="2" s="1"/>
  <c r="G10" i="1"/>
  <c r="N10" i="2" s="1"/>
  <c r="D3" i="1"/>
  <c r="N11" i="2" l="1"/>
  <c r="N14" i="2"/>
  <c r="O14" i="2" s="1"/>
  <c r="N18" i="2"/>
  <c r="O18" i="2" s="1"/>
  <c r="C37" i="2"/>
  <c r="B8" i="1"/>
  <c r="C20" i="1" s="1"/>
  <c r="F20" i="1" s="1"/>
  <c r="F21" i="1" s="1"/>
  <c r="N2" i="2"/>
  <c r="O2" i="2" s="1"/>
  <c r="N13" i="2"/>
  <c r="C12" i="1"/>
  <c r="F12" i="1" s="1"/>
  <c r="F22" i="1" l="1"/>
  <c r="F23" i="1" s="1"/>
  <c r="D23" i="1" s="1"/>
  <c r="C34" i="2"/>
  <c r="C35" i="2"/>
  <c r="C29" i="2"/>
  <c r="C30" i="2"/>
  <c r="C27" i="2"/>
  <c r="C28" i="2"/>
  <c r="C32" i="2"/>
  <c r="C33" i="2"/>
  <c r="C11" i="2"/>
  <c r="C12" i="2"/>
  <c r="C13" i="2"/>
  <c r="C9" i="2"/>
  <c r="C6" i="2"/>
  <c r="C7" i="2"/>
  <c r="C21" i="2"/>
  <c r="C15" i="2"/>
  <c r="C21" i="1" l="1"/>
  <c r="B21" i="1" s="1"/>
  <c r="D22" i="1"/>
  <c r="F13" i="1"/>
  <c r="C22" i="1" l="1"/>
  <c r="B22" i="1" s="1"/>
  <c r="D20" i="1"/>
  <c r="C13" i="1"/>
  <c r="B13" i="1" s="1"/>
  <c r="F14" i="1"/>
  <c r="F15" i="1" s="1"/>
  <c r="F16" i="1" s="1"/>
  <c r="F17" i="1" s="1"/>
  <c r="F18" i="1" s="1"/>
  <c r="C23" i="1" l="1"/>
  <c r="B23" i="1" s="1"/>
  <c r="D21" i="1"/>
  <c r="D12" i="1"/>
  <c r="C14" i="1"/>
  <c r="B14" i="1" s="1"/>
  <c r="D18" i="1"/>
  <c r="B24" i="1" l="1"/>
  <c r="C15" i="1"/>
  <c r="B15" i="1" s="1"/>
  <c r="D13" i="1"/>
  <c r="D14" i="1" l="1"/>
  <c r="C16" i="1"/>
  <c r="B16" i="1" s="1"/>
  <c r="D15" i="1" l="1"/>
  <c r="C17" i="1"/>
  <c r="B17" i="1" s="1"/>
  <c r="O10" i="2"/>
  <c r="F21" i="3" s="1"/>
  <c r="D16" i="1" l="1"/>
  <c r="C18" i="1"/>
  <c r="B18" i="1" s="1"/>
  <c r="B19" i="1" l="1"/>
  <c r="D17" i="1"/>
  <c r="B25" i="1" l="1"/>
  <c r="B26" i="1" s="1"/>
  <c r="H31" i="1" l="1"/>
  <c r="H34" i="3" s="1"/>
  <c r="C29" i="1"/>
  <c r="C30" i="1"/>
  <c r="F30" i="1"/>
  <c r="F33" i="3" s="1"/>
  <c r="D31" i="1"/>
  <c r="D34" i="3" s="1"/>
  <c r="G31" i="1"/>
  <c r="G34" i="3" s="1"/>
  <c r="K31" i="1"/>
  <c r="K34" i="3" s="1"/>
  <c r="C31" i="1"/>
  <c r="D24" i="3"/>
  <c r="J31" i="1"/>
  <c r="J34" i="3" s="1"/>
  <c r="F31" i="1"/>
  <c r="F34" i="3" s="1"/>
  <c r="I30" i="1"/>
  <c r="I33" i="3" s="1"/>
  <c r="E31" i="1"/>
  <c r="E34" i="3" s="1"/>
  <c r="I31" i="1"/>
  <c r="I34" i="3" s="1"/>
  <c r="C33" i="3" l="1"/>
  <c r="M30" i="1"/>
  <c r="C32" i="3"/>
  <c r="M29" i="1"/>
  <c r="C34" i="3"/>
  <c r="M31" i="1"/>
</calcChain>
</file>

<file path=xl/sharedStrings.xml><?xml version="1.0" encoding="utf-8"?>
<sst xmlns="http://schemas.openxmlformats.org/spreadsheetml/2006/main" count="271" uniqueCount="143">
  <si>
    <t xml:space="preserve">Eveil ( à partir de  6 ans) </t>
  </si>
  <si>
    <t>2 élèves 2 instruments et FM</t>
  </si>
  <si>
    <t>3 élèves 3 instruments et FM</t>
  </si>
  <si>
    <t>4 élèves 4 instruments et FM</t>
  </si>
  <si>
    <t>Adhésions par famille</t>
  </si>
  <si>
    <t>Elève 1</t>
  </si>
  <si>
    <t>Nombre de partique collective</t>
  </si>
  <si>
    <t>Formation musicale</t>
  </si>
  <si>
    <t>Ville de Résidence</t>
  </si>
  <si>
    <t>THOUARE SUR LOIRE</t>
  </si>
  <si>
    <t>HORS DE THOUARE SUR LOIRE</t>
  </si>
  <si>
    <t>Nb de pratique instrumentale individuelle</t>
  </si>
  <si>
    <t>CURSUS TERMINE</t>
  </si>
  <si>
    <t>EVEIL</t>
  </si>
  <si>
    <t>Tarif</t>
  </si>
  <si>
    <t>indice</t>
  </si>
  <si>
    <t>Valeur Résidence</t>
  </si>
  <si>
    <t>Val</t>
  </si>
  <si>
    <t>THOUAREEN</t>
  </si>
  <si>
    <t>NON THOUAREEN</t>
  </si>
  <si>
    <t>Valeur FM</t>
  </si>
  <si>
    <t>Pratique Collective</t>
  </si>
  <si>
    <t>Valeur Pratique Collectrive</t>
  </si>
  <si>
    <t>pas de pratique collective</t>
  </si>
  <si>
    <t>ADHESION</t>
  </si>
  <si>
    <t>1 élève 2 instruments et FM</t>
  </si>
  <si>
    <t>AVEC FM</t>
  </si>
  <si>
    <t>SANS FM</t>
  </si>
  <si>
    <t>1 élève 1 instrument et FM</t>
  </si>
  <si>
    <t>Elève 2</t>
  </si>
  <si>
    <t>Elève 3</t>
  </si>
  <si>
    <t>Elève 4</t>
  </si>
  <si>
    <t>Elève 5</t>
  </si>
  <si>
    <t>1 Eveil</t>
  </si>
  <si>
    <t>2 Eveil</t>
  </si>
  <si>
    <t>3 Eveil</t>
  </si>
  <si>
    <t>1 Formation musicale seule</t>
  </si>
  <si>
    <t>4 Eveil</t>
  </si>
  <si>
    <t>2 Formation musicale seule</t>
  </si>
  <si>
    <t>3 Formation musicale seule</t>
  </si>
  <si>
    <t>4 Formation musicale seule</t>
  </si>
  <si>
    <t>Cours instrument et FM</t>
  </si>
  <si>
    <t>THOUAREENS</t>
  </si>
  <si>
    <t>1 chèque</t>
  </si>
  <si>
    <t>3 chèques</t>
  </si>
  <si>
    <t>9 chèques</t>
  </si>
  <si>
    <t>Age à la rentrée 2020-2021</t>
  </si>
  <si>
    <t>Oct</t>
  </si>
  <si>
    <t>Nov</t>
  </si>
  <si>
    <t>Dec</t>
  </si>
  <si>
    <t>Jan</t>
  </si>
  <si>
    <t>Fev</t>
  </si>
  <si>
    <t>Mar</t>
  </si>
  <si>
    <t>Avr</t>
  </si>
  <si>
    <t>Mai</t>
  </si>
  <si>
    <t>Jui</t>
  </si>
  <si>
    <t>Côut Total</t>
  </si>
  <si>
    <t>Adhésion</t>
  </si>
  <si>
    <t>Total avec adhésion</t>
  </si>
  <si>
    <t>Répartition</t>
  </si>
  <si>
    <t>Octobre
2020</t>
  </si>
  <si>
    <t>Novembre
2020</t>
  </si>
  <si>
    <t>Décembre
2020</t>
  </si>
  <si>
    <t>Janvier
2021</t>
  </si>
  <si>
    <t>Février
2021</t>
  </si>
  <si>
    <t>Mars
2021</t>
  </si>
  <si>
    <t>Avril
2021</t>
  </si>
  <si>
    <t>Mai
2021</t>
  </si>
  <si>
    <t>Juin
2021</t>
  </si>
  <si>
    <t>N° Erreur</t>
  </si>
  <si>
    <t>Commentaire à inscrire</t>
  </si>
  <si>
    <t>Erreur1</t>
  </si>
  <si>
    <t>Erreur2</t>
  </si>
  <si>
    <t>N° Elève</t>
  </si>
  <si>
    <t>Avec le choix Formation Instrumentale, il faut choisir un mode de Formation Musicale.</t>
  </si>
  <si>
    <t>Avec le  choix Formation musicale EVEIL, mettre les choix Formation instrumentale et Pratique Collective à la valeur 0</t>
  </si>
  <si>
    <t>Erreur3</t>
  </si>
  <si>
    <r>
      <t xml:space="preserve">2 Pratiques collectives </t>
    </r>
    <r>
      <rPr>
        <b/>
        <u/>
        <sz val="10"/>
        <rFont val="Arial"/>
        <family val="2"/>
      </rPr>
      <t>seules</t>
    </r>
    <r>
      <rPr>
        <sz val="10"/>
        <rFont val="Arial"/>
        <family val="2"/>
      </rPr>
      <t xml:space="preserve"> </t>
    </r>
  </si>
  <si>
    <r>
      <t xml:space="preserve">3 Pratiques collectives </t>
    </r>
    <r>
      <rPr>
        <b/>
        <u/>
        <sz val="10"/>
        <rFont val="Arial"/>
        <family val="2"/>
      </rPr>
      <t>seules</t>
    </r>
    <r>
      <rPr>
        <sz val="10"/>
        <rFont val="Arial"/>
        <family val="2"/>
      </rPr>
      <t xml:space="preserve"> </t>
    </r>
  </si>
  <si>
    <r>
      <t xml:space="preserve">1 Pratique collective </t>
    </r>
    <r>
      <rPr>
        <b/>
        <u/>
        <sz val="10"/>
        <rFont val="Arial"/>
        <family val="2"/>
      </rPr>
      <t>seule</t>
    </r>
    <r>
      <rPr>
        <sz val="10"/>
        <rFont val="Arial"/>
        <family val="2"/>
      </rPr>
      <t xml:space="preserve"> </t>
    </r>
  </si>
  <si>
    <r>
      <t xml:space="preserve">4 Pratiques collectives </t>
    </r>
    <r>
      <rPr>
        <b/>
        <u/>
        <sz val="10"/>
        <rFont val="Arial"/>
        <family val="2"/>
      </rPr>
      <t>seules</t>
    </r>
    <r>
      <rPr>
        <sz val="10"/>
        <rFont val="Arial"/>
        <family val="2"/>
      </rPr>
      <t xml:space="preserve"> </t>
    </r>
  </si>
  <si>
    <r>
      <t xml:space="preserve">5 Pratiques collectives </t>
    </r>
    <r>
      <rPr>
        <b/>
        <u/>
        <sz val="10"/>
        <rFont val="Arial"/>
        <family val="2"/>
      </rPr>
      <t>seules</t>
    </r>
    <r>
      <rPr>
        <sz val="10"/>
        <rFont val="Arial"/>
        <family val="2"/>
      </rPr>
      <t xml:space="preserve"> </t>
    </r>
  </si>
  <si>
    <t>Commentaire d'Erreur</t>
  </si>
  <si>
    <t>Cellules de travail</t>
  </si>
  <si>
    <t>Répartition des chèques</t>
  </si>
  <si>
    <t>Présence erreur</t>
  </si>
  <si>
    <t>Type de formation musicale</t>
  </si>
  <si>
    <t>Erreur4</t>
  </si>
  <si>
    <t>Veuillez saisr l'âge de l'élève</t>
  </si>
  <si>
    <t>Veuillez saisir l'âge de l'élève</t>
  </si>
  <si>
    <t>relève erreur</t>
  </si>
  <si>
    <t xml:space="preserve">Veuillez choisir la ville de résidence </t>
  </si>
  <si>
    <t>Tarifs</t>
  </si>
  <si>
    <t>Longueur Total</t>
  </si>
  <si>
    <t>1 instrument seul</t>
  </si>
  <si>
    <t>2 instruments seuls</t>
  </si>
  <si>
    <t>3 instruments seuls</t>
  </si>
  <si>
    <t>4 instruments seuls</t>
  </si>
  <si>
    <t>5 instruments seuls</t>
  </si>
  <si>
    <t>5 Eveil</t>
  </si>
  <si>
    <t>5 élèves 5 instruments et FM</t>
  </si>
  <si>
    <t>5 Formation musicale seule</t>
  </si>
  <si>
    <t>5 élèves 4 instruments et FM</t>
  </si>
  <si>
    <t>1 Pratique Collective supplémentaire</t>
  </si>
  <si>
    <t>2 Pratiques Collectives supplémentaires</t>
  </si>
  <si>
    <t>3 Pratiques Collectives supplémentaires</t>
  </si>
  <si>
    <t>4 Pratiques Collectives supplémentaires</t>
  </si>
  <si>
    <t>5 Pratiques Collectives supplémentaires</t>
  </si>
  <si>
    <t>6 Pratiques Collectives supplémentaires</t>
  </si>
  <si>
    <t>7 Pratiques Collectives supplémentaires</t>
  </si>
  <si>
    <t>8 Pratiques Collectives supplémentaires</t>
  </si>
  <si>
    <t>9 Pratiques Collectives supplémentaires</t>
  </si>
  <si>
    <t>Total instrument et FM</t>
  </si>
  <si>
    <t>Total Pratique Collective</t>
  </si>
  <si>
    <t>Formation musicale seule</t>
  </si>
  <si>
    <r>
      <t xml:space="preserve">Instrument seul (élève ayant </t>
    </r>
    <r>
      <rPr>
        <b/>
        <sz val="10"/>
        <color rgb="FFFF0000"/>
        <rFont val="Arial"/>
        <family val="2"/>
      </rPr>
      <t>fini</t>
    </r>
    <r>
      <rPr>
        <sz val="10"/>
        <rFont val="Arial"/>
        <family val="2"/>
      </rPr>
      <t xml:space="preserve"> le cursus de formation musicale)</t>
    </r>
  </si>
  <si>
    <r>
      <t xml:space="preserve">tarifs 2020/2021 </t>
    </r>
    <r>
      <rPr>
        <b/>
        <u/>
        <sz val="18"/>
        <rFont val="Arial"/>
        <family val="2"/>
      </rPr>
      <t>NonThouaréens</t>
    </r>
  </si>
  <si>
    <t>Formation Instrumentale Indivituelle</t>
  </si>
  <si>
    <t>Total Cours Instruments et FM</t>
  </si>
  <si>
    <t>Vérif</t>
  </si>
  <si>
    <t>Code Global Pratique Individuelle et FM =&gt;</t>
  </si>
  <si>
    <t>Code Global Pratique Collective =&gt;</t>
  </si>
  <si>
    <t>Age élève</t>
  </si>
  <si>
    <t>Nb de pratique collective</t>
  </si>
  <si>
    <t>Le règlement de l'inscription doit être impérativement réalisé par chèque
Plusieurs modes d'étalement  de paiement sont proposés (sur 1, 2 ou 3 chèques).
Afin de facilité les recouvrements, nous vous remercions de suivre la répartition indiquée ci dessous</t>
  </si>
  <si>
    <t>Instrument + FM
Pratique collective facultative jusqu'à 20ans incluse dans le tarif)</t>
  </si>
  <si>
    <t>Pratique collective supplémentaire</t>
  </si>
  <si>
    <t>Pratique collective seule (sans cours instrument)</t>
  </si>
  <si>
    <t>Instrument + FM
Pratique collective facultative jusqu'à 20 ans incluse dans le tarif)</t>
  </si>
  <si>
    <r>
      <t xml:space="preserve"> tarifs 2020/ 2021 </t>
    </r>
    <r>
      <rPr>
        <b/>
        <u/>
        <sz val="18"/>
        <rFont val="Arial"/>
        <family val="2"/>
      </rPr>
      <t>Thouaréens</t>
    </r>
  </si>
  <si>
    <t>THOUARE MELODIE
Outil d'aide au calcul de coût d'inscription 2020-2021</t>
  </si>
  <si>
    <t>Version</t>
  </si>
  <si>
    <t>Commentaire</t>
  </si>
  <si>
    <t>Version 1.3 du 08-05-2020</t>
  </si>
  <si>
    <t xml:space="preserve">Remplacement des valeurs numérique des tarifs de l'onglet « Paramètres » par des liens vers les cellules correspondantes de l'Onglet »Tarifs »
Défaut de calcul des pratiques collective augmentation constante de 42€ ( tarif 2019-2020)
=&gt; Onglet  « Paramètres »  addition du contenu de la cellule Tarif Pratique_Collective au lieu de 42
Défaut : d'adhésion si Pratique Collective seule.( Total Instrument et FM =0)
=&gt; Onglet « Feuille de Calcul » modification : ajout Adhésion si Total Instrument et FM &gt;0 ou Total Pratique Collective  &gt; 0   </t>
  </si>
  <si>
    <t>Coefficient de Ristourne
&lt;3 cours instruments 100%
= 3 cours instruments 95%
&gt;3 cours instruments 90%</t>
  </si>
  <si>
    <t>Version 1.4 du 09-05-2020</t>
  </si>
  <si>
    <t>3 élèves 3 instruments et FM (rabais de 5% sur tarif standard pour 3 cours d'instrument)</t>
  </si>
  <si>
    <t>4 élèves 4 instruments et FM  (rabais de 10% sur tarif standardà partir de 4 cours d'instrument)</t>
  </si>
  <si>
    <r>
      <t xml:space="preserve">             Afin d'obtenir le coût global des inscriptions</t>
    </r>
    <r>
      <rPr>
        <i/>
        <sz val="11"/>
        <rFont val="Calibri"/>
        <family val="2"/>
        <scheme val="minor"/>
      </rPr>
      <t xml:space="preserve"> à partir des tarifs de référence (</t>
    </r>
    <r>
      <rPr>
        <b/>
        <i/>
        <sz val="11"/>
        <color rgb="FF0070C0"/>
        <rFont val="Calibri"/>
        <family val="2"/>
        <scheme val="minor"/>
      </rPr>
      <t>Fiche Tarifaire sur l'Onglet "Tarifs"</t>
    </r>
    <r>
      <rPr>
        <b/>
        <i/>
        <sz val="11"/>
        <rFont val="Calibri"/>
        <family val="2"/>
        <scheme val="minor"/>
      </rPr>
      <t>)</t>
    </r>
    <r>
      <rPr>
        <i/>
        <sz val="1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veuillez renseigner, pour chaque élève, les champs du tableau ci-dessous.
- Pour réaliser le choix la ville de résidence (commune à l'ensemble des élèves), veuillez cliquer sur la cellule à droite de "</t>
    </r>
    <r>
      <rPr>
        <b/>
        <i/>
        <sz val="11"/>
        <color rgb="FF0070C0"/>
        <rFont val="Calibri"/>
        <family val="2"/>
        <scheme val="minor"/>
      </rPr>
      <t>Ville de résidence</t>
    </r>
    <r>
      <rPr>
        <i/>
        <sz val="11"/>
        <color theme="1"/>
        <rFont val="Calibri"/>
        <family val="2"/>
        <scheme val="minor"/>
      </rPr>
      <t>" et choisir dans la liste
- Saisir un nombre pour les champs "</t>
    </r>
    <r>
      <rPr>
        <b/>
        <i/>
        <sz val="11"/>
        <color rgb="FF0070C0"/>
        <rFont val="Calibri"/>
        <family val="2"/>
        <scheme val="minor"/>
      </rPr>
      <t>âge à la rentrée</t>
    </r>
    <r>
      <rPr>
        <i/>
        <sz val="11"/>
        <color theme="1"/>
        <rFont val="Calibri"/>
        <family val="2"/>
        <scheme val="minor"/>
      </rPr>
      <t>", "</t>
    </r>
    <r>
      <rPr>
        <b/>
        <i/>
        <sz val="11"/>
        <color rgb="FF0070C0"/>
        <rFont val="Calibri"/>
        <family val="2"/>
        <scheme val="minor"/>
      </rPr>
      <t>Nb de pratiques individuelles</t>
    </r>
    <r>
      <rPr>
        <i/>
        <sz val="11"/>
        <color theme="1"/>
        <rFont val="Calibri"/>
        <family val="2"/>
        <scheme val="minor"/>
      </rPr>
      <t>" et "</t>
    </r>
    <r>
      <rPr>
        <b/>
        <i/>
        <sz val="11"/>
        <color rgb="FF0070C0"/>
        <rFont val="Calibri"/>
        <family val="2"/>
        <scheme val="minor"/>
      </rPr>
      <t>Nb de pratiques Collectives</t>
    </r>
    <r>
      <rPr>
        <i/>
        <sz val="11"/>
        <color theme="1"/>
        <rFont val="Calibri"/>
        <family val="2"/>
        <scheme val="minor"/>
      </rPr>
      <t xml:space="preserve">"
- Pour réaliser le choix de la Formation musicale( Eveil, avec ou sans FM)veuillez cliquer sur les cellules au bas de chaque colonne Elève  et choisir dans la liste.
- </t>
    </r>
    <r>
      <rPr>
        <b/>
        <i/>
        <sz val="11"/>
        <color rgb="FF0070C0"/>
        <rFont val="Calibri"/>
        <family val="2"/>
        <scheme val="minor"/>
      </rPr>
      <t>l'échéancier</t>
    </r>
    <r>
      <rPr>
        <i/>
        <sz val="11"/>
        <color theme="1"/>
        <rFont val="Calibri"/>
        <family val="2"/>
        <scheme val="minor"/>
      </rPr>
      <t xml:space="preserve"> avec la valeur de chaque chèque à saisir est affiché en bas de l'écran en fonctin du </t>
    </r>
    <r>
      <rPr>
        <b/>
        <i/>
        <sz val="11"/>
        <color rgb="FF0070C0"/>
        <rFont val="Calibri"/>
        <family val="2"/>
        <scheme val="minor"/>
      </rPr>
      <t>choix du mode de paiement</t>
    </r>
    <r>
      <rPr>
        <i/>
        <sz val="11"/>
        <color theme="1"/>
        <rFont val="Calibri"/>
        <family val="2"/>
        <scheme val="minor"/>
      </rPr>
      <t xml:space="preserve">
- un </t>
    </r>
    <r>
      <rPr>
        <b/>
        <i/>
        <sz val="11"/>
        <color rgb="FF0070C0"/>
        <rFont val="Calibri"/>
        <family val="2"/>
        <scheme val="minor"/>
      </rPr>
      <t>affichage des erreurs</t>
    </r>
    <r>
      <rPr>
        <i/>
        <sz val="11"/>
        <color theme="1"/>
        <rFont val="Calibri"/>
        <family val="2"/>
        <scheme val="minor"/>
      </rPr>
      <t xml:space="preserve"> de saisie est prévu et le </t>
    </r>
    <r>
      <rPr>
        <b/>
        <i/>
        <sz val="11"/>
        <color rgb="FF0070C0"/>
        <rFont val="Calibri"/>
        <family val="2"/>
        <scheme val="minor"/>
      </rPr>
      <t>coût</t>
    </r>
    <r>
      <rPr>
        <i/>
        <sz val="11"/>
        <color theme="1"/>
        <rFont val="Calibri"/>
        <family val="2"/>
        <scheme val="minor"/>
      </rPr>
      <t xml:space="preserve"> de l'inscription sera </t>
    </r>
    <r>
      <rPr>
        <b/>
        <i/>
        <sz val="11"/>
        <color rgb="FF0070C0"/>
        <rFont val="Calibri"/>
        <family val="2"/>
        <scheme val="minor"/>
      </rPr>
      <t>affiché</t>
    </r>
    <r>
      <rPr>
        <i/>
        <sz val="11"/>
        <color theme="1"/>
        <rFont val="Calibri"/>
        <family val="2"/>
        <scheme val="minor"/>
      </rPr>
      <t xml:space="preserve"> dès que toutes les </t>
    </r>
    <r>
      <rPr>
        <b/>
        <i/>
        <sz val="11"/>
        <color rgb="FF0070C0"/>
        <rFont val="Calibri"/>
        <family val="2"/>
        <scheme val="minor"/>
      </rPr>
      <t>corrections</t>
    </r>
    <r>
      <rPr>
        <i/>
        <sz val="11"/>
        <color theme="1"/>
        <rFont val="Calibri"/>
        <family val="2"/>
        <scheme val="minor"/>
      </rPr>
      <t xml:space="preserve"> auront été apportées
</t>
    </r>
    <r>
      <rPr>
        <b/>
        <i/>
        <sz val="12"/>
        <color theme="1"/>
        <rFont val="Calibri"/>
        <family val="2"/>
        <scheme val="minor"/>
      </rPr>
      <t xml:space="preserve">si besoin d'aide vous pouvez nous contacter à l'adresse </t>
    </r>
    <r>
      <rPr>
        <b/>
        <i/>
        <sz val="12"/>
        <color rgb="FF0070C0"/>
        <rFont val="Calibri"/>
        <family val="2"/>
        <scheme val="minor"/>
      </rPr>
      <t>thouaremelodie@gmail.com</t>
    </r>
  </si>
  <si>
    <t>Version 1.4 du 11-05-2020</t>
  </si>
  <si>
    <t>défaut de calcul de rabais si Nb Cours instruments &gt; 3 avec mélange Cours avec FM et Cours sans FM
Création de 2 tables Liste FM et Liste Instrument Thouaréen et Non Thouaréen et du coefficient « Ristourne »
Application du rabais sur l'ensemble du coût de 5% pour 3 instruments et 10% à partir de 4 instuments.</t>
  </si>
  <si>
    <t>4 élèves 4 instruments et FM  (rabais de 10% sur tarif standard à partir de 4 cours d'instrument)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</si>
</sst>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\ &quot;€&quot;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bgColor theme="0" tint="-0.14996795556505021"/>
      </patternFill>
    </fill>
    <fill>
      <patternFill patternType="gray125">
        <bgColor theme="0" tint="-4.9989318521683403E-2"/>
      </patternFill>
    </fill>
    <fill>
      <patternFill patternType="gray125">
        <bgColor theme="0" tint="-0.14996795556505021"/>
      </patternFill>
    </fill>
    <fill>
      <patternFill patternType="gray0625"/>
    </fill>
    <fill>
      <patternFill patternType="solid">
        <fgColor theme="9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1" fillId="0" borderId="0" applyFont="0" applyFill="0" applyBorder="0" applyAlignment="0" applyProtection="0"/>
    <xf numFmtId="0" fontId="3" fillId="0" borderId="0"/>
  </cellStyleXfs>
  <cellXfs count="192">
    <xf numFmtId="0" fontId="0" fillId="0" borderId="0" xfId="0"/>
    <xf numFmtId="0" fontId="1" fillId="0" borderId="3" xfId="1" applyBorder="1"/>
    <xf numFmtId="0" fontId="3" fillId="0" borderId="3" xfId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5" xfId="0" applyFill="1" applyBorder="1"/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" fillId="0" borderId="1" xfId="1" applyFill="1" applyBorder="1"/>
    <xf numFmtId="0" fontId="3" fillId="0" borderId="1" xfId="1" applyFont="1" applyBorder="1"/>
    <xf numFmtId="0" fontId="1" fillId="0" borderId="1" xfId="1" applyBorder="1"/>
    <xf numFmtId="0" fontId="1" fillId="4" borderId="1" xfId="1" applyFill="1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5" borderId="0" xfId="0" applyFill="1"/>
    <xf numFmtId="0" fontId="0" fillId="5" borderId="0" xfId="0" applyFill="1" applyBorder="1"/>
    <xf numFmtId="0" fontId="3" fillId="0" borderId="1" xfId="1" applyFont="1" applyFill="1" applyBorder="1"/>
    <xf numFmtId="0" fontId="0" fillId="0" borderId="1" xfId="0" applyBorder="1" applyAlignment="1">
      <alignment wrapText="1"/>
    </xf>
    <xf numFmtId="0" fontId="0" fillId="0" borderId="0" xfId="0"/>
    <xf numFmtId="0" fontId="0" fillId="4" borderId="7" xfId="0" applyFill="1" applyBorder="1"/>
    <xf numFmtId="0" fontId="0" fillId="0" borderId="8" xfId="0" applyBorder="1"/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9" xfId="0" applyFill="1" applyBorder="1" applyAlignment="1">
      <alignment horizontal="center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4" borderId="1" xfId="0" applyFont="1" applyFill="1" applyBorder="1" applyAlignment="1"/>
    <xf numFmtId="0" fontId="0" fillId="0" borderId="1" xfId="0" applyFont="1" applyBorder="1" applyAlignment="1"/>
    <xf numFmtId="0" fontId="3" fillId="0" borderId="1" xfId="1" applyFont="1" applyBorder="1" applyAlignment="1"/>
    <xf numFmtId="0" fontId="0" fillId="0" borderId="0" xfId="0" applyAlignment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7" borderId="1" xfId="0" applyFill="1" applyBorder="1"/>
    <xf numFmtId="0" fontId="0" fillId="0" borderId="25" xfId="0" applyBorder="1"/>
    <xf numFmtId="0" fontId="0" fillId="4" borderId="26" xfId="0" applyFill="1" applyBorder="1"/>
    <xf numFmtId="0" fontId="7" fillId="0" borderId="27" xfId="0" applyFont="1" applyBorder="1"/>
    <xf numFmtId="0" fontId="0" fillId="9" borderId="28" xfId="0" applyFill="1" applyBorder="1"/>
    <xf numFmtId="0" fontId="0" fillId="9" borderId="27" xfId="0" applyFill="1" applyBorder="1"/>
    <xf numFmtId="0" fontId="0" fillId="9" borderId="29" xfId="0" applyFill="1" applyBorder="1"/>
    <xf numFmtId="0" fontId="0" fillId="4" borderId="32" xfId="0" applyFill="1" applyBorder="1" applyAlignment="1">
      <alignment vertical="center"/>
    </xf>
    <xf numFmtId="0" fontId="7" fillId="0" borderId="2" xfId="0" applyFont="1" applyBorder="1"/>
    <xf numFmtId="0" fontId="7" fillId="0" borderId="7" xfId="0" applyFont="1" applyBorder="1"/>
    <xf numFmtId="0" fontId="0" fillId="4" borderId="34" xfId="0" applyFill="1" applyBorder="1"/>
    <xf numFmtId="0" fontId="7" fillId="6" borderId="35" xfId="0" applyFont="1" applyFill="1" applyBorder="1" applyAlignment="1">
      <alignment vertical="center"/>
    </xf>
    <xf numFmtId="0" fontId="0" fillId="7" borderId="44" xfId="0" applyFill="1" applyBorder="1" applyAlignment="1">
      <alignment horizontal="left" vertical="center"/>
    </xf>
    <xf numFmtId="164" fontId="7" fillId="0" borderId="44" xfId="0" applyNumberFormat="1" applyFont="1" applyFill="1" applyBorder="1" applyAlignment="1">
      <alignment horizontal="center" vertical="center"/>
    </xf>
    <xf numFmtId="0" fontId="0" fillId="7" borderId="45" xfId="0" applyFill="1" applyBorder="1" applyAlignment="1">
      <alignment horizontal="left" vertical="center"/>
    </xf>
    <xf numFmtId="164" fontId="7" fillId="0" borderId="45" xfId="0" applyNumberFormat="1" applyFont="1" applyFill="1" applyBorder="1" applyAlignment="1">
      <alignment horizontal="center" vertical="center"/>
    </xf>
    <xf numFmtId="0" fontId="0" fillId="7" borderId="46" xfId="0" applyFill="1" applyBorder="1" applyAlignment="1">
      <alignment horizontal="left" vertical="center"/>
    </xf>
    <xf numFmtId="164" fontId="7" fillId="0" borderId="46" xfId="0" applyNumberFormat="1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top" wrapText="1"/>
    </xf>
    <xf numFmtId="0" fontId="0" fillId="0" borderId="0" xfId="0"/>
    <xf numFmtId="0" fontId="3" fillId="0" borderId="17" xfId="3" applyBorder="1"/>
    <xf numFmtId="0" fontId="3" fillId="0" borderId="17" xfId="3" applyFont="1" applyBorder="1"/>
    <xf numFmtId="0" fontId="3" fillId="0" borderId="16" xfId="3" applyBorder="1"/>
    <xf numFmtId="0" fontId="3" fillId="0" borderId="14" xfId="3" applyBorder="1"/>
    <xf numFmtId="0" fontId="0" fillId="0" borderId="66" xfId="0" applyBorder="1"/>
    <xf numFmtId="0" fontId="0" fillId="0" borderId="7" xfId="0" applyBorder="1"/>
    <xf numFmtId="0" fontId="0" fillId="0" borderId="27" xfId="0" applyBorder="1"/>
    <xf numFmtId="0" fontId="0" fillId="0" borderId="1" xfId="0" applyBorder="1" applyAlignment="1">
      <alignment horizont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/>
    <xf numFmtId="0" fontId="0" fillId="0" borderId="15" xfId="0" applyBorder="1" applyAlignment="1">
      <alignment vertical="center" wrapText="1"/>
    </xf>
    <xf numFmtId="0" fontId="0" fillId="0" borderId="15" xfId="0" applyBorder="1"/>
    <xf numFmtId="0" fontId="0" fillId="0" borderId="69" xfId="0" applyBorder="1"/>
    <xf numFmtId="0" fontId="0" fillId="4" borderId="1" xfId="0" applyFill="1" applyBorder="1" applyAlignment="1">
      <alignment horizontal="right"/>
    </xf>
    <xf numFmtId="0" fontId="0" fillId="4" borderId="30" xfId="0" applyFill="1" applyBorder="1"/>
    <xf numFmtId="0" fontId="7" fillId="0" borderId="70" xfId="0" applyFont="1" applyBorder="1"/>
    <xf numFmtId="0" fontId="0" fillId="9" borderId="73" xfId="0" applyFill="1" applyBorder="1"/>
    <xf numFmtId="0" fontId="0" fillId="4" borderId="73" xfId="0" applyFill="1" applyBorder="1" applyAlignment="1">
      <alignment horizontal="center"/>
    </xf>
    <xf numFmtId="0" fontId="0" fillId="7" borderId="73" xfId="0" applyFill="1" applyBorder="1"/>
    <xf numFmtId="0" fontId="0" fillId="4" borderId="74" xfId="0" applyFill="1" applyBorder="1"/>
    <xf numFmtId="0" fontId="0" fillId="0" borderId="75" xfId="0" applyBorder="1" applyAlignment="1">
      <alignment horizontal="center"/>
    </xf>
    <xf numFmtId="0" fontId="0" fillId="4" borderId="2" xfId="0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7" borderId="2" xfId="0" applyFill="1" applyBorder="1"/>
    <xf numFmtId="0" fontId="0" fillId="0" borderId="76" xfId="0" applyBorder="1" applyAlignment="1">
      <alignment horizontal="center"/>
    </xf>
    <xf numFmtId="0" fontId="0" fillId="7" borderId="20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164" fontId="7" fillId="12" borderId="46" xfId="0" applyNumberFormat="1" applyFont="1" applyFill="1" applyBorder="1" applyAlignment="1">
      <alignment horizontal="center" vertical="center"/>
    </xf>
    <xf numFmtId="164" fontId="7" fillId="12" borderId="44" xfId="0" applyNumberFormat="1" applyFont="1" applyFill="1" applyBorder="1" applyAlignment="1">
      <alignment horizontal="center" vertical="center"/>
    </xf>
    <xf numFmtId="0" fontId="3" fillId="0" borderId="17" xfId="3" applyBorder="1" applyAlignment="1">
      <alignment wrapText="1"/>
    </xf>
    <xf numFmtId="0" fontId="3" fillId="0" borderId="14" xfId="3" applyBorder="1" applyAlignment="1">
      <alignment vertical="center"/>
    </xf>
    <xf numFmtId="0" fontId="3" fillId="0" borderId="16" xfId="3" applyBorder="1" applyAlignment="1">
      <alignment vertical="center"/>
    </xf>
    <xf numFmtId="0" fontId="3" fillId="0" borderId="17" xfId="3" applyBorder="1" applyAlignment="1">
      <alignment vertical="center"/>
    </xf>
    <xf numFmtId="0" fontId="3" fillId="0" borderId="17" xfId="3" applyBorder="1" applyAlignment="1">
      <alignment vertical="center" wrapText="1"/>
    </xf>
    <xf numFmtId="0" fontId="3" fillId="0" borderId="17" xfId="3" applyFont="1" applyBorder="1" applyAlignment="1">
      <alignment vertical="center"/>
    </xf>
    <xf numFmtId="0" fontId="3" fillId="3" borderId="18" xfId="3" applyFont="1" applyFill="1" applyBorder="1" applyAlignment="1">
      <alignment vertical="center"/>
    </xf>
    <xf numFmtId="0" fontId="3" fillId="3" borderId="78" xfId="3" applyFont="1" applyFill="1" applyBorder="1" applyAlignment="1">
      <alignment vertical="center"/>
    </xf>
    <xf numFmtId="164" fontId="2" fillId="0" borderId="77" xfId="3" applyNumberFormat="1" applyFont="1" applyBorder="1" applyAlignment="1">
      <alignment horizontal="center" vertical="center"/>
    </xf>
    <xf numFmtId="164" fontId="2" fillId="0" borderId="81" xfId="3" applyNumberFormat="1" applyFont="1" applyBorder="1" applyAlignment="1">
      <alignment horizontal="center" vertical="center"/>
    </xf>
    <xf numFmtId="164" fontId="2" fillId="0" borderId="82" xfId="3" applyNumberFormat="1" applyFont="1" applyBorder="1" applyAlignment="1">
      <alignment horizontal="center" vertical="center"/>
    </xf>
    <xf numFmtId="164" fontId="2" fillId="0" borderId="83" xfId="3" applyNumberFormat="1" applyFont="1" applyBorder="1" applyAlignment="1">
      <alignment horizontal="center" vertical="center"/>
    </xf>
    <xf numFmtId="164" fontId="2" fillId="0" borderId="77" xfId="3" applyNumberFormat="1" applyFont="1" applyBorder="1" applyAlignment="1">
      <alignment horizontal="center"/>
    </xf>
    <xf numFmtId="164" fontId="2" fillId="0" borderId="81" xfId="3" applyNumberFormat="1" applyFont="1" applyBorder="1" applyAlignment="1">
      <alignment horizontal="center"/>
    </xf>
    <xf numFmtId="164" fontId="2" fillId="0" borderId="82" xfId="3" applyNumberFormat="1" applyFont="1" applyBorder="1" applyAlignment="1">
      <alignment horizontal="center"/>
    </xf>
    <xf numFmtId="164" fontId="2" fillId="0" borderId="83" xfId="3" applyNumberFormat="1" applyFont="1" applyBorder="1" applyAlignment="1">
      <alignment horizontal="center"/>
    </xf>
    <xf numFmtId="0" fontId="0" fillId="1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4" borderId="7" xfId="0" applyFill="1" applyBorder="1" applyAlignment="1">
      <alignment wrapText="1"/>
    </xf>
    <xf numFmtId="0" fontId="0" fillId="0" borderId="13" xfId="0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center"/>
    </xf>
    <xf numFmtId="2" fontId="0" fillId="0" borderId="0" xfId="0" applyNumberFormat="1"/>
    <xf numFmtId="0" fontId="0" fillId="8" borderId="1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44" fontId="0" fillId="4" borderId="30" xfId="2" applyFont="1" applyFill="1" applyBorder="1" applyAlignment="1">
      <alignment horizontal="left" vertical="center"/>
    </xf>
    <xf numFmtId="44" fontId="0" fillId="4" borderId="31" xfId="2" applyFont="1" applyFill="1" applyBorder="1" applyAlignment="1">
      <alignment horizontal="left" vertical="center"/>
    </xf>
    <xf numFmtId="44" fontId="0" fillId="4" borderId="65" xfId="2" applyFont="1" applyFill="1" applyBorder="1" applyAlignment="1">
      <alignment horizontal="left" vertical="center"/>
    </xf>
    <xf numFmtId="0" fontId="0" fillId="11" borderId="12" xfId="0" applyFill="1" applyBorder="1" applyAlignment="1">
      <alignment horizontal="center"/>
    </xf>
    <xf numFmtId="0" fontId="0" fillId="7" borderId="71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7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top" wrapText="1"/>
    </xf>
    <xf numFmtId="0" fontId="10" fillId="0" borderId="48" xfId="0" applyFont="1" applyFill="1" applyBorder="1" applyAlignment="1">
      <alignment horizontal="left" vertical="top" wrapText="1"/>
    </xf>
    <xf numFmtId="0" fontId="10" fillId="0" borderId="49" xfId="0" applyFont="1" applyFill="1" applyBorder="1" applyAlignment="1">
      <alignment horizontal="left" vertical="top" wrapText="1"/>
    </xf>
    <xf numFmtId="0" fontId="10" fillId="0" borderId="5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10" fillId="0" borderId="60" xfId="0" applyFont="1" applyFill="1" applyBorder="1" applyAlignment="1">
      <alignment horizontal="left" vertical="top" wrapText="1"/>
    </xf>
    <xf numFmtId="0" fontId="10" fillId="0" borderId="61" xfId="0" applyFont="1" applyFill="1" applyBorder="1" applyAlignment="1">
      <alignment horizontal="left" vertical="top" wrapText="1"/>
    </xf>
    <xf numFmtId="0" fontId="10" fillId="0" borderId="62" xfId="0" applyFont="1" applyFill="1" applyBorder="1" applyAlignment="1">
      <alignment horizontal="left" vertical="top" wrapText="1"/>
    </xf>
    <xf numFmtId="0" fontId="0" fillId="7" borderId="57" xfId="0" applyFill="1" applyBorder="1" applyAlignment="1">
      <alignment horizontal="right"/>
    </xf>
    <xf numFmtId="0" fontId="0" fillId="7" borderId="58" xfId="0" applyFill="1" applyBorder="1" applyAlignment="1">
      <alignment horizontal="right"/>
    </xf>
    <xf numFmtId="0" fontId="0" fillId="7" borderId="52" xfId="0" applyFill="1" applyBorder="1" applyAlignment="1">
      <alignment horizontal="right"/>
    </xf>
    <xf numFmtId="0" fontId="0" fillId="7" borderId="35" xfId="0" applyFill="1" applyBorder="1" applyAlignment="1">
      <alignment horizontal="right"/>
    </xf>
    <xf numFmtId="0" fontId="0" fillId="5" borderId="0" xfId="0" applyFill="1" applyAlignment="1">
      <alignment horizontal="center"/>
    </xf>
    <xf numFmtId="0" fontId="0" fillId="5" borderId="61" xfId="0" applyFill="1" applyBorder="1" applyAlignment="1">
      <alignment horizontal="center"/>
    </xf>
    <xf numFmtId="0" fontId="7" fillId="7" borderId="35" xfId="0" applyFont="1" applyFill="1" applyBorder="1" applyAlignment="1" applyProtection="1">
      <alignment horizontal="center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0" fontId="0" fillId="7" borderId="58" xfId="0" applyFill="1" applyBorder="1" applyAlignment="1" applyProtection="1">
      <alignment horizontal="center"/>
    </xf>
    <xf numFmtId="0" fontId="0" fillId="7" borderId="59" xfId="0" applyFill="1" applyBorder="1" applyAlignment="1" applyProtection="1">
      <alignment horizontal="center"/>
    </xf>
    <xf numFmtId="0" fontId="0" fillId="0" borderId="53" xfId="0" applyFill="1" applyBorder="1" applyAlignment="1" applyProtection="1">
      <alignment horizontal="center"/>
      <protection locked="0"/>
    </xf>
    <xf numFmtId="0" fontId="7" fillId="7" borderId="53" xfId="0" applyFont="1" applyFill="1" applyBorder="1" applyAlignment="1" applyProtection="1">
      <alignment horizontal="center"/>
    </xf>
    <xf numFmtId="0" fontId="7" fillId="6" borderId="47" xfId="0" applyFont="1" applyFill="1" applyBorder="1" applyAlignment="1">
      <alignment horizontal="center" vertical="top" wrapText="1"/>
    </xf>
    <xf numFmtId="0" fontId="7" fillId="6" borderId="48" xfId="0" applyFont="1" applyFill="1" applyBorder="1" applyAlignment="1">
      <alignment horizontal="center" vertical="top" wrapText="1"/>
    </xf>
    <xf numFmtId="0" fontId="7" fillId="6" borderId="49" xfId="0" applyFont="1" applyFill="1" applyBorder="1" applyAlignment="1">
      <alignment horizontal="center" vertical="top" wrapText="1"/>
    </xf>
    <xf numFmtId="0" fontId="0" fillId="0" borderId="55" xfId="0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left"/>
    </xf>
    <xf numFmtId="0" fontId="8" fillId="5" borderId="0" xfId="0" applyFont="1" applyFill="1" applyBorder="1" applyAlignment="1">
      <alignment horizontal="left" vertical="top" wrapText="1"/>
    </xf>
    <xf numFmtId="0" fontId="0" fillId="7" borderId="36" xfId="0" applyFill="1" applyBorder="1" applyAlignment="1">
      <alignment horizontal="left" vertical="top" wrapText="1"/>
    </xf>
    <xf numFmtId="0" fontId="0" fillId="7" borderId="37" xfId="0" applyFill="1" applyBorder="1" applyAlignment="1">
      <alignment horizontal="left" vertical="top" wrapText="1"/>
    </xf>
    <xf numFmtId="0" fontId="0" fillId="7" borderId="38" xfId="0" applyFill="1" applyBorder="1" applyAlignment="1">
      <alignment horizontal="left" vertical="top" wrapText="1"/>
    </xf>
    <xf numFmtId="0" fontId="0" fillId="7" borderId="39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40" xfId="0" applyFill="1" applyBorder="1" applyAlignment="1">
      <alignment horizontal="left" vertical="top" wrapText="1"/>
    </xf>
    <xf numFmtId="0" fontId="0" fillId="7" borderId="41" xfId="0" applyFill="1" applyBorder="1" applyAlignment="1">
      <alignment horizontal="left" vertical="top" wrapText="1"/>
    </xf>
    <xf numFmtId="0" fontId="0" fillId="7" borderId="42" xfId="0" applyFill="1" applyBorder="1" applyAlignment="1">
      <alignment horizontal="left" vertical="top" wrapText="1"/>
    </xf>
    <xf numFmtId="0" fontId="0" fillId="7" borderId="43" xfId="0" applyFill="1" applyBorder="1" applyAlignment="1">
      <alignment horizontal="left" vertical="top" wrapText="1"/>
    </xf>
    <xf numFmtId="0" fontId="0" fillId="7" borderId="54" xfId="0" applyFill="1" applyBorder="1" applyAlignment="1">
      <alignment horizontal="right"/>
    </xf>
    <xf numFmtId="0" fontId="0" fillId="7" borderId="55" xfId="0" applyFill="1" applyBorder="1" applyAlignment="1">
      <alignment horizontal="right"/>
    </xf>
    <xf numFmtId="164" fontId="7" fillId="0" borderId="34" xfId="0" applyNumberFormat="1" applyFont="1" applyFill="1" applyBorder="1" applyAlignment="1">
      <alignment horizontal="right"/>
    </xf>
    <xf numFmtId="0" fontId="0" fillId="0" borderId="56" xfId="0" applyFill="1" applyBorder="1" applyAlignment="1" applyProtection="1">
      <alignment horizontal="center"/>
      <protection locked="0"/>
    </xf>
    <xf numFmtId="0" fontId="3" fillId="7" borderId="33" xfId="3" applyFill="1" applyBorder="1" applyAlignment="1">
      <alignment horizontal="center"/>
    </xf>
    <xf numFmtId="0" fontId="3" fillId="7" borderId="63" xfId="3" applyFill="1" applyBorder="1" applyAlignment="1">
      <alignment horizontal="center"/>
    </xf>
    <xf numFmtId="0" fontId="3" fillId="10" borderId="33" xfId="3" applyFill="1" applyBorder="1" applyAlignment="1">
      <alignment horizontal="center"/>
    </xf>
    <xf numFmtId="0" fontId="3" fillId="10" borderId="63" xfId="3" applyFill="1" applyBorder="1" applyAlignment="1">
      <alignment horizont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64" xfId="3" applyFont="1" applyBorder="1" applyAlignment="1">
      <alignment horizontal="center" vertical="center"/>
    </xf>
    <xf numFmtId="0" fontId="2" fillId="2" borderId="79" xfId="3" applyFont="1" applyFill="1" applyBorder="1" applyAlignment="1">
      <alignment horizontal="center" vertical="center"/>
    </xf>
    <xf numFmtId="0" fontId="2" fillId="2" borderId="80" xfId="3" applyFont="1" applyFill="1" applyBorder="1" applyAlignment="1">
      <alignment horizontal="center" vertical="center"/>
    </xf>
    <xf numFmtId="0" fontId="2" fillId="2" borderId="84" xfId="3" applyFont="1" applyFill="1" applyBorder="1" applyAlignment="1">
      <alignment horizontal="center" vertical="center"/>
    </xf>
    <xf numFmtId="0" fontId="3" fillId="7" borderId="33" xfId="3" applyFill="1" applyBorder="1" applyAlignment="1">
      <alignment horizontal="center" vertical="center"/>
    </xf>
    <xf numFmtId="0" fontId="3" fillId="7" borderId="63" xfId="3" applyFill="1" applyBorder="1" applyAlignment="1">
      <alignment horizontal="center" vertical="center"/>
    </xf>
  </cellXfs>
  <cellStyles count="4">
    <cellStyle name="Monétaire" xfId="2" builtin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1304925</xdr:colOff>
      <xdr:row>3</xdr:row>
      <xdr:rowOff>266700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0"/>
          <a:ext cx="1295400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ntiguïté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31"/>
  <sheetViews>
    <sheetView workbookViewId="0">
      <selection activeCell="W5" sqref="W5"/>
    </sheetView>
  </sheetViews>
  <sheetFormatPr baseColWidth="10" defaultRowHeight="15" x14ac:dyDescent="0.25"/>
  <cols>
    <col min="1" max="1" width="31.28515625" customWidth="1"/>
    <col min="2" max="2" width="39.140625" customWidth="1"/>
    <col min="3" max="3" width="18.85546875" customWidth="1"/>
    <col min="4" max="4" width="5.5703125" customWidth="1"/>
    <col min="5" max="5" width="14.5703125" customWidth="1"/>
    <col min="6" max="6" width="4" customWidth="1"/>
    <col min="7" max="7" width="8.85546875" bestFit="1" customWidth="1"/>
    <col min="8" max="8" width="3.85546875" customWidth="1"/>
    <col min="9" max="9" width="7.28515625" customWidth="1"/>
    <col min="10" max="10" width="3.85546875" customWidth="1"/>
    <col min="11" max="11" width="7.28515625" customWidth="1"/>
    <col min="12" max="12" width="3.85546875" customWidth="1"/>
    <col min="13" max="13" width="5" customWidth="1"/>
  </cols>
  <sheetData>
    <row r="1" spans="1:13" ht="16.5" customHeight="1" x14ac:dyDescent="0.25">
      <c r="A1" s="118" t="s">
        <v>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5" customHeight="1" x14ac:dyDescent="0.25">
      <c r="A2" s="66"/>
      <c r="B2" s="10"/>
      <c r="C2" s="5" t="s">
        <v>5</v>
      </c>
      <c r="D2" s="42" t="s">
        <v>17</v>
      </c>
      <c r="E2" s="5" t="s">
        <v>29</v>
      </c>
      <c r="F2" s="42" t="s">
        <v>17</v>
      </c>
      <c r="G2" s="5" t="s">
        <v>30</v>
      </c>
      <c r="H2" s="42" t="s">
        <v>17</v>
      </c>
      <c r="I2" s="5" t="s">
        <v>31</v>
      </c>
      <c r="J2" s="42" t="s">
        <v>17</v>
      </c>
      <c r="K2" s="5" t="s">
        <v>32</v>
      </c>
      <c r="L2" s="42" t="s">
        <v>17</v>
      </c>
      <c r="M2" s="3"/>
    </row>
    <row r="3" spans="1:13" ht="15.75" customHeight="1" x14ac:dyDescent="0.25">
      <c r="A3" s="67"/>
      <c r="B3" s="88" t="s">
        <v>8</v>
      </c>
      <c r="C3" s="3" t="str">
        <f>IF('calcul du tarif d''inscription'!D15="","",'calcul du tarif d''inscription'!D15)</f>
        <v/>
      </c>
      <c r="D3" s="3" t="str">
        <f>IF(C3="","",VLOOKUP(C3,Trad_Residence,2,FALSE))</f>
        <v/>
      </c>
      <c r="E3" s="3"/>
      <c r="F3" s="3"/>
      <c r="G3" s="3"/>
      <c r="H3" s="3"/>
      <c r="I3" s="3"/>
      <c r="J3" s="3"/>
      <c r="K3" s="3"/>
      <c r="L3" s="3"/>
      <c r="M3" s="3">
        <f>IF(AND(C3="",OR(C4&gt;0,C5&gt;0,C6&gt;0,E4&gt;0,E5&gt;0,E6&gt;0,G4&gt;0,G5&gt;0,G6&gt;0,I4&gt;0,I5&gt;0,I6&gt;0,K4&gt;0,K5&gt;0,K6&gt;0,C7&lt;&gt;"",E7&lt;&gt;"",G7&lt;&gt;"",I7&lt;&gt;"",K7&lt;&gt;"")),1,0)</f>
        <v>0</v>
      </c>
    </row>
    <row r="4" spans="1:13" x14ac:dyDescent="0.25">
      <c r="A4" s="67"/>
      <c r="B4" s="88" t="s">
        <v>122</v>
      </c>
      <c r="C4" s="4">
        <f>'calcul du tarif d''inscription'!D17</f>
        <v>0</v>
      </c>
      <c r="D4" s="3">
        <f>IF(OR(C4="",C4=0),0,IF(C4&lt;21,1,2))</f>
        <v>0</v>
      </c>
      <c r="E4" s="4">
        <f>'calcul du tarif d''inscription'!F17</f>
        <v>0</v>
      </c>
      <c r="F4" s="3">
        <f>IF(OR(E4="",E4=0),0,IF(E4&lt;21,1,2))</f>
        <v>0</v>
      </c>
      <c r="G4" s="4">
        <f>'calcul du tarif d''inscription'!H17</f>
        <v>0</v>
      </c>
      <c r="H4" s="3">
        <f>IF(OR(G4="",G4=0),0,IF(G4&lt;21,1,2))</f>
        <v>0</v>
      </c>
      <c r="I4" s="4">
        <f>'calcul du tarif d''inscription'!J17</f>
        <v>0</v>
      </c>
      <c r="J4" s="3">
        <f>IF(OR(I4="",I4=0),0,IF(I4&lt;21,1,2))</f>
        <v>0</v>
      </c>
      <c r="K4" s="4">
        <f>'calcul du tarif d''inscription'!L17</f>
        <v>0</v>
      </c>
      <c r="L4" s="3">
        <f>IF(OR(K4="",K4=0),0,IF(K4&lt;21,1,2))</f>
        <v>0</v>
      </c>
      <c r="M4" s="3"/>
    </row>
    <row r="5" spans="1:13" x14ac:dyDescent="0.25">
      <c r="A5" s="67"/>
      <c r="B5" s="88" t="s">
        <v>11</v>
      </c>
      <c r="C5" s="4">
        <f>'calcul du tarif d''inscription'!D18</f>
        <v>0</v>
      </c>
      <c r="D5" s="3">
        <f>IF(OR(C5&lt;1,C5=""),0,1)</f>
        <v>0</v>
      </c>
      <c r="E5" s="4">
        <f>'calcul du tarif d''inscription'!F18</f>
        <v>0</v>
      </c>
      <c r="F5" s="3">
        <f>IF(OR(E5&lt;1,E5=""),0,1)</f>
        <v>0</v>
      </c>
      <c r="G5" s="4">
        <f>'calcul du tarif d''inscription'!H18</f>
        <v>0</v>
      </c>
      <c r="H5" s="3">
        <f>IF(OR(G5&lt;1,G5=""),0,1)</f>
        <v>0</v>
      </c>
      <c r="I5" s="4">
        <f>'calcul du tarif d''inscription'!J18</f>
        <v>0</v>
      </c>
      <c r="J5" s="3">
        <f>IF(OR(I5&lt;1,I5=""),0,1)</f>
        <v>0</v>
      </c>
      <c r="K5" s="4">
        <f>'calcul du tarif d''inscription'!L18</f>
        <v>0</v>
      </c>
      <c r="L5" s="3">
        <f>IF(OR(K5&lt;1,K5=""),0,1)</f>
        <v>0</v>
      </c>
      <c r="M5" s="3">
        <f>C5+E5+G5+I5+K5</f>
        <v>0</v>
      </c>
    </row>
    <row r="6" spans="1:13" x14ac:dyDescent="0.25">
      <c r="A6" s="67"/>
      <c r="B6" s="88" t="s">
        <v>6</v>
      </c>
      <c r="C6" s="4">
        <f>'calcul du tarif d''inscription'!D19</f>
        <v>0</v>
      </c>
      <c r="D6" s="3">
        <f>IF(C6&gt;0,IF(C5&gt;0,IF(D4=1,(C6-1)*10,C6*10),IF(C6=1,C6*100,100+(C6-1)*10)),0)</f>
        <v>0</v>
      </c>
      <c r="E6" s="4">
        <f>'calcul du tarif d''inscription'!F19</f>
        <v>0</v>
      </c>
      <c r="F6" s="3">
        <f>IF(E6&gt;0,IF(E5&gt;0,IF(F4=1,(E6-1)*10,E6*10),IF(E6=1,E6*100,100+(E6-1)*10)),0)</f>
        <v>0</v>
      </c>
      <c r="G6" s="4">
        <f>'calcul du tarif d''inscription'!H19</f>
        <v>0</v>
      </c>
      <c r="H6" s="3">
        <f>IF(G6&gt;0,IF(G5&gt;0,IF(H4=1,(G6-1)*10,G6*10),IF(G6=1,G6*100,100+(G6-1)*10)),0)</f>
        <v>0</v>
      </c>
      <c r="I6" s="4">
        <f>'calcul du tarif d''inscription'!J19</f>
        <v>0</v>
      </c>
      <c r="J6" s="3">
        <f>IF(I6&gt;0,IF(I5&gt;0,IF(J4=1,(I6-1)*10,I6*10),IF(I6=1,I6*100,100+(I6-1)*10)),0)</f>
        <v>0</v>
      </c>
      <c r="K6" s="4">
        <f>'calcul du tarif d''inscription'!L19</f>
        <v>0</v>
      </c>
      <c r="L6" s="3">
        <f>IF(K6&gt;0,IF(K5&gt;0,IF(L4=1,(K6-1)*10,K6*10),IF(K6=1,K6*100,100+(K6-1)*10)),0)</f>
        <v>0</v>
      </c>
      <c r="M6" s="3">
        <f>IF(L6&gt;0,IF(L5&gt;0,IF(M4=1,(L6-1)*10,L6*10),IF(L6=1,L6*100,(L6-1)*10)),0)</f>
        <v>0</v>
      </c>
    </row>
    <row r="7" spans="1:13" x14ac:dyDescent="0.25">
      <c r="A7" s="34"/>
      <c r="B7" s="88" t="s">
        <v>7</v>
      </c>
      <c r="C7" s="4" t="str">
        <f>IF('calcul du tarif d''inscription'!D20="","",'calcul du tarif d''inscription'!D20)</f>
        <v/>
      </c>
      <c r="D7" s="3"/>
      <c r="E7" s="4" t="str">
        <f>IF('calcul du tarif d''inscription'!F20="","",'calcul du tarif d''inscription'!F20)</f>
        <v/>
      </c>
      <c r="F7" s="3"/>
      <c r="G7" s="4" t="str">
        <f>IF('calcul du tarif d''inscription'!H20="","",'calcul du tarif d''inscription'!H20)</f>
        <v/>
      </c>
      <c r="H7" s="3"/>
      <c r="I7" s="4" t="str">
        <f>IF('calcul du tarif d''inscription'!J20="","",'calcul du tarif d''inscription'!J20)</f>
        <v/>
      </c>
      <c r="J7" s="3"/>
      <c r="K7" s="4" t="str">
        <f>IF('calcul du tarif d''inscription'!L20="","",'calcul du tarif d''inscription'!L20)</f>
        <v/>
      </c>
      <c r="L7" s="3"/>
      <c r="M7" s="3"/>
    </row>
    <row r="8" spans="1:13" x14ac:dyDescent="0.25">
      <c r="A8" s="5" t="s">
        <v>85</v>
      </c>
      <c r="B8" s="89">
        <f>IF(OR(LEFT(C10,6)="Erreur",LEFT(E10,6)="Erreur",LEFT(G10,6)="Erreur",LEFT(I10,6)="Erreur",LEFT(K10,6)="Erreur"),1,0)</f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61" customFormat="1" ht="60" x14ac:dyDescent="0.25">
      <c r="A9" s="113" t="s">
        <v>135</v>
      </c>
      <c r="B9" s="114">
        <f>IF(Nb_Prat_individuelle&lt;3,1,IF(Nb_Prat_individuelle&lt;4,0.95,0.9))</f>
        <v>1</v>
      </c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x14ac:dyDescent="0.25">
      <c r="A10" s="33"/>
      <c r="B10" s="88" t="s">
        <v>118</v>
      </c>
      <c r="C10" s="69">
        <f>IF(Erreur_Ville=0,IF(AND(C4=0,OR(C5&gt;0,C6&gt;0,C7&lt;&gt;"")),"Erreur3",IF(AND(C5=0,C7=""),0,IF(C7="EVEIL",IF(OR(C5&gt;0,C6&gt;0),"Erreur1", 10),IF(C5=0,IF(OR(C7="SANS FM",C7="CURSUS TERMINE"),"0","100"),IF(C7="","Erreur2",IF(OR(C7="SANS FM",C7="CURSUS TERMINE"),C5*1000,C5*10000)))))),"Erreur4")</f>
        <v>0</v>
      </c>
      <c r="D10" s="3"/>
      <c r="E10" s="23">
        <f>IF(Erreur_Ville=0,IF(AND(E4=0,OR(E5&gt;0,E6&gt;0,E7&lt;&gt;"")),"Erreur3",IF(AND(E5=0,E7=""),0,IF(E7="EVEIL",IF(OR(E5&gt;0,E6&gt;0),"Erreur1", 10),IF(E5=0,IF(OR(E7="SANS FM",E7="CURSUS TERMINE"),"0","100"),IF(E7="","Erreur2",IF(OR(E7="SANS FM",E7="CURSUS TERMINE"),E5*1000,E5*10000)))))),"Erreur4")</f>
        <v>0</v>
      </c>
      <c r="F10" s="3"/>
      <c r="G10" s="23">
        <f>IF(Erreur_Ville=0,IF(AND(G4=0,OR(G5&gt;0,G6&gt;0,G7&lt;&gt;"")),"Erreur3",IF(AND(G5=0,G7=""),0,IF(G7="EVEIL",IF(OR(G5&gt;0,G6&gt;0),"Erreur1", 10),IF(G5=0,IF(OR(G7="SANS FM",G7="CURSUS TERMINE"),"0","100"),IF(G7="","Erreur2",IF(OR(G7="SANS FM",G7="CURSUS TERMINE"),G5*1000,G5*10000)))))),"Erreur4")</f>
        <v>0</v>
      </c>
      <c r="H10" s="3"/>
      <c r="I10" s="23">
        <f>IF(Erreur_Ville=0,IF(AND(I4=0,OR(I5&gt;0,I6&gt;0,I7&lt;&gt;"")),"Erreur3",IF(AND(I5=0,I7=""),0,IF(I7="EVEIL",IF(OR(I5&gt;0,I6&gt;0),"Erreur1", 10),IF(I5=0,IF(OR(I7="SANS FM",I7="CURSUS TERMINE"),"0","100"),IF(I7="","Erreur2",IF(OR(I7="SANS FM",I7="CURSUS TERMINE"),I5*1000,I5*10000)))))),"Erreur4")</f>
        <v>0</v>
      </c>
      <c r="J10" s="3"/>
      <c r="K10" s="23">
        <f>IF(Erreur_Ville=0,IF(AND(K4=0,OR(K5&gt;0,K6&gt;0,K7&lt;&gt;"")),"Erreur3",IF(AND(K5=0,K7=""),0,IF(K7="EVEIL",IF(OR(K5&gt;0,K6&gt;0),"Erreur1", 10),IF(K5=0,IF(OR(K7="SANS FM",K7="CURSUS TERMINE"),"0","100"),IF(K7="","Erreur2",IF(OR(K7="SANS FM",K7="CURSUS TERMINE"),K5*1000,K5*10000)))))),"Erreur4")</f>
        <v>0</v>
      </c>
      <c r="L10" s="3"/>
      <c r="M10" s="3"/>
    </row>
    <row r="11" spans="1:13" ht="15.75" thickBot="1" x14ac:dyDescent="0.3">
      <c r="A11" s="68"/>
      <c r="B11" s="33"/>
      <c r="C11" s="33"/>
      <c r="D11" s="33"/>
      <c r="E11" s="33"/>
      <c r="F11" s="33"/>
      <c r="G11" s="3"/>
      <c r="H11" s="3"/>
      <c r="I11" s="3"/>
      <c r="J11" s="3"/>
      <c r="K11" s="3"/>
      <c r="L11" s="3"/>
      <c r="M11" s="3"/>
    </row>
    <row r="12" spans="1:13" ht="15" customHeight="1" x14ac:dyDescent="0.25">
      <c r="A12" s="126" t="s">
        <v>41</v>
      </c>
      <c r="B12" s="87" t="s">
        <v>120</v>
      </c>
      <c r="C12" s="39">
        <f>IFERROR(C10+E10+G10+I10+K10,0)</f>
        <v>0</v>
      </c>
      <c r="D12" s="39" t="str">
        <f>IF(AND(C13=0,F12=0),"Fin","Suite")</f>
        <v>Fin</v>
      </c>
      <c r="E12" s="123" t="s">
        <v>93</v>
      </c>
      <c r="F12" s="40">
        <f>IF(VAl_Inscription=0,0,LEN(C12))</f>
        <v>0</v>
      </c>
      <c r="G12" s="70"/>
      <c r="H12" s="71"/>
      <c r="I12" s="71"/>
      <c r="J12" s="71"/>
      <c r="K12" s="71"/>
      <c r="L12" s="71"/>
      <c r="M12" s="71"/>
    </row>
    <row r="13" spans="1:13" x14ac:dyDescent="0.25">
      <c r="A13" s="127"/>
      <c r="B13" s="29">
        <f t="shared" ref="B13:B18" si="0">IF(COUNTIF(Liste_Pratique_Individuelle,C13)&gt;0,IF(Indice_Residence=1,ROUND(Ristourne*(VLOOKUP(C13,Trad_Tarif_Instru_Thouareen,2,FALSE)),0),ROUND(Ristourne*(VLOOKUP(C13,Trad_Tarif_Instru_NonThouareen,2,FALSE)),0)),IF(COUNTIF(Liste_FM,C13)&gt;0,IF(Indice_Residence=1,ROUND(Ristourne*VLOOKUP(C13,Trad_Tarif_FM_Thouareen,2,FALSE),0),ROUND(Ristourne*(VLOOKUP(C13,Trad_Tarif_FM_NonThouareen,2,FALSE)),0)),0))</f>
        <v>0</v>
      </c>
      <c r="C13" s="29">
        <f>IF(VAl_Inscription-100*(ROUNDDOWN(VAl_Inscription/100,0))=0,IF(F13&gt;0,0,100*(ROUNDDOWN(VAl_Inscription/100,0))),VAl_Inscription-100*(ROUNDDOWN(VAl_Inscription/100,0)))</f>
        <v>0</v>
      </c>
      <c r="D13" s="29" t="str">
        <f t="shared" ref="D13:D16" si="1">IF(AND(C14=0,F13=0),"Fin","Suite")</f>
        <v>Fin</v>
      </c>
      <c r="E13" s="124"/>
      <c r="F13" s="41">
        <f>IF(F12-2&lt;0,0,F12-2)</f>
        <v>0</v>
      </c>
      <c r="G13" s="72"/>
      <c r="H13" s="18"/>
      <c r="I13" s="18"/>
      <c r="J13" s="18"/>
      <c r="K13" s="18"/>
      <c r="L13" s="18"/>
      <c r="M13" s="18"/>
    </row>
    <row r="14" spans="1:13" x14ac:dyDescent="0.25">
      <c r="A14" s="127"/>
      <c r="B14" s="29">
        <f t="shared" si="0"/>
        <v>0</v>
      </c>
      <c r="C14" s="29">
        <f>IF(VAl_Inscription-C$13-1000*(ROUNDDOWN(VAl_Inscription/1000,0))=0,IF(F14&gt;0,0,VAl_Inscription-C$13),VAl_Inscription-C$13-1000*(ROUNDDOWN(VAl_Inscription/1000,0)))</f>
        <v>0</v>
      </c>
      <c r="D14" s="29" t="str">
        <f t="shared" si="1"/>
        <v>Fin</v>
      </c>
      <c r="E14" s="124"/>
      <c r="F14" s="41">
        <f>IF(F13-1&lt;0,0,F13-1)</f>
        <v>0</v>
      </c>
      <c r="G14" s="72"/>
      <c r="H14" s="18"/>
      <c r="I14" s="18"/>
      <c r="J14" s="18"/>
      <c r="K14" s="18"/>
      <c r="L14" s="18"/>
      <c r="M14" s="18"/>
    </row>
    <row r="15" spans="1:13" x14ac:dyDescent="0.25">
      <c r="A15" s="127"/>
      <c r="B15" s="29">
        <f t="shared" si="0"/>
        <v>0</v>
      </c>
      <c r="C15" s="29">
        <f>IF(VAl_Inscription-C$13-C$14-10000*(ROUNDDOWN(VAl_Inscription/10000,0))=0,IF(F15&gt;0,0,VAl_Inscription-C$13-C$14),VAl_Inscription-C$13-C$14-10000*(ROUNDDOWN(VAl_Inscription/10000,0)))</f>
        <v>0</v>
      </c>
      <c r="D15" s="29" t="str">
        <f t="shared" si="1"/>
        <v>Fin</v>
      </c>
      <c r="E15" s="124"/>
      <c r="F15" s="41">
        <f t="shared" ref="F15:F18" si="2">IF(F14-1&lt;0,0,F14-1)</f>
        <v>0</v>
      </c>
      <c r="G15" s="72"/>
      <c r="H15" s="18"/>
      <c r="I15" s="18"/>
      <c r="J15" s="18"/>
      <c r="K15" s="18"/>
      <c r="L15" s="18"/>
      <c r="M15" s="18"/>
    </row>
    <row r="16" spans="1:13" x14ac:dyDescent="0.25">
      <c r="A16" s="127"/>
      <c r="B16" s="29">
        <f t="shared" si="0"/>
        <v>0</v>
      </c>
      <c r="C16" s="29">
        <f>IF(VAl_Inscription-C$13-C$14-C$15-100000*(ROUNDDOWN(VAl_Inscription/100000,0))=0,IF(F16&gt;0,0,VAl_Inscription-C$13-C$14-C$15),VAl_Inscription-C$13-C$14-C$15-100000*(ROUNDDOWN(VAl_Inscription/100000,0)))</f>
        <v>0</v>
      </c>
      <c r="D16" s="29" t="str">
        <f t="shared" si="1"/>
        <v>Fin</v>
      </c>
      <c r="E16" s="124"/>
      <c r="F16" s="41">
        <f t="shared" si="2"/>
        <v>0</v>
      </c>
      <c r="G16" s="72"/>
      <c r="H16" s="18"/>
      <c r="I16" s="18"/>
      <c r="J16" s="18"/>
      <c r="K16" s="18"/>
      <c r="L16" s="18"/>
      <c r="M16" s="18"/>
    </row>
    <row r="17" spans="1:13" x14ac:dyDescent="0.25">
      <c r="A17" s="127"/>
      <c r="B17" s="29">
        <f t="shared" si="0"/>
        <v>0</v>
      </c>
      <c r="C17" s="29">
        <f>IF(VAl_Inscription-C$13-C$14-C$15-C$16-1000000*(ROUNDDOWN(VAl_Inscription/1000000,0))=0,IF(F17&gt;0,0,VAl_Inscription-C$13-C$14-C$15-C$16),VAl_Inscription-C$13-C$14-C$15-C$16-1000000*(ROUNDDOWN(VAl_Inscription/1000000,0)))</f>
        <v>0</v>
      </c>
      <c r="D17" s="29" t="str">
        <f>IF(AND(C18=0,F17=0),"Fin","Suite")</f>
        <v>Fin</v>
      </c>
      <c r="E17" s="124"/>
      <c r="F17" s="41">
        <f t="shared" si="2"/>
        <v>0</v>
      </c>
      <c r="G17" s="72"/>
      <c r="H17" s="18"/>
      <c r="I17" s="18"/>
      <c r="J17" s="18"/>
      <c r="K17" s="18"/>
      <c r="L17" s="18"/>
      <c r="M17" s="18"/>
    </row>
    <row r="18" spans="1:13" x14ac:dyDescent="0.25">
      <c r="A18" s="128"/>
      <c r="B18" s="29">
        <f t="shared" si="0"/>
        <v>0</v>
      </c>
      <c r="C18" s="31">
        <f>IF(VAl_Inscription-C$13-C$14-C$15-C$16-C$17-10000000*(ROUNDDOWN(VAl_Inscription/10000000,0))=0,IF(F18&gt;0,0,VAl_Inscription-C$13-C$14-C$15-C$16-C$17),VAl_Inscription-C$13-C$14-C$15-C$16-C$17-10000000*(ROUNDDOWN(VAl_Inscription/10000000,0)))</f>
        <v>0</v>
      </c>
      <c r="D18" s="31" t="str">
        <f>IF(AND(C21=0,F18=0),"Fin","Suite")</f>
        <v>Fin</v>
      </c>
      <c r="E18" s="125"/>
      <c r="F18" s="43">
        <f t="shared" si="2"/>
        <v>0</v>
      </c>
      <c r="G18" s="73"/>
      <c r="H18" s="18"/>
      <c r="I18" s="18"/>
      <c r="J18" s="18"/>
      <c r="K18" s="18"/>
      <c r="L18" s="18"/>
      <c r="M18" s="18"/>
    </row>
    <row r="19" spans="1:13" ht="15.75" thickBot="1" x14ac:dyDescent="0.3">
      <c r="A19" s="44" t="s">
        <v>112</v>
      </c>
      <c r="B19" s="45">
        <f>SUM($B$13:$B$18)</f>
        <v>0</v>
      </c>
      <c r="C19" s="46"/>
      <c r="D19" s="47"/>
      <c r="E19" s="47"/>
      <c r="F19" s="48"/>
      <c r="G19" s="73"/>
      <c r="H19" s="18"/>
      <c r="I19" s="18"/>
      <c r="J19" s="18"/>
      <c r="K19" s="18"/>
      <c r="L19" s="18"/>
      <c r="M19" s="18"/>
    </row>
    <row r="20" spans="1:13" s="24" customFormat="1" x14ac:dyDescent="0.25">
      <c r="A20" s="129" t="s">
        <v>21</v>
      </c>
      <c r="B20" s="87" t="s">
        <v>121</v>
      </c>
      <c r="C20" s="39">
        <f>IF($B$8&gt;0,0,IFERROR($D$6+$F$6+$H$6+$J$6+$L$6,0))</f>
        <v>0</v>
      </c>
      <c r="D20" s="39" t="str">
        <f>IF(AND(C21=0,F20=0),"Fin","Suite")</f>
        <v>Fin</v>
      </c>
      <c r="E20" s="133" t="s">
        <v>93</v>
      </c>
      <c r="F20" s="40">
        <f>IF(Val_Pratique_Col=0,0,LEN(C20))</f>
        <v>0</v>
      </c>
      <c r="G20" s="73"/>
      <c r="H20" s="18"/>
      <c r="I20" s="18"/>
      <c r="J20" s="18"/>
      <c r="K20" s="18"/>
      <c r="L20" s="18"/>
      <c r="M20" s="18"/>
    </row>
    <row r="21" spans="1:13" x14ac:dyDescent="0.25">
      <c r="A21" s="130"/>
      <c r="B21" s="29">
        <f>IF(COUNTIF(Liste_Pratique_Col,C21)&gt;0,IF(Indice_Residence=1,ROUND(Ristourne*(VLOOKUP(C21,Trad_Tarif_Ens_Thouareens,2,FALSE)),0),ROUND(Ristourne*(VLOOKUP(C21,Trad_Tarif_Ens_NonThouareens,2,FALSE)),0)),0)</f>
        <v>0</v>
      </c>
      <c r="C21" s="29">
        <f>IF(Val_Pratique_Col-100*(ROUNDDOWN(Val_Pratique_Col/100,0))=0,IF(F21&gt;0,0,100*(ROUNDDOWN(Val_Pratique_Col/100,0))),Val_Pratique_Col-100*(ROUNDDOWN(Val_Pratique_Col/100,0)))</f>
        <v>0</v>
      </c>
      <c r="D21" s="29" t="str">
        <f t="shared" ref="D21" si="3">IF(AND(C22=0,F21=0),"Fin","Suite")</f>
        <v>Fin</v>
      </c>
      <c r="E21" s="134"/>
      <c r="F21" s="41">
        <f>IF(F20-2&lt;0,0,F20-2)</f>
        <v>0</v>
      </c>
      <c r="G21" s="73"/>
      <c r="H21" s="18"/>
      <c r="I21" s="18"/>
      <c r="J21" s="18"/>
      <c r="K21" s="18"/>
      <c r="L21" s="18"/>
      <c r="M21" s="18"/>
    </row>
    <row r="22" spans="1:13" s="24" customFormat="1" x14ac:dyDescent="0.25">
      <c r="A22" s="130"/>
      <c r="B22" s="29">
        <f>IF(COUNTIF(Liste_Pratique_Col,C22)&gt;0,IF(Indice_Residence=1,ROUND(Ristourne*(VLOOKUP(C22,Trad_Tarif_Ens_Thouareens,2,FALSE)),0),ROUND(Ristourne*(VLOOKUP(C22,Trad_Tarif_Ens_NonThouareens,2,FALSE)),0)),0)</f>
        <v>0</v>
      </c>
      <c r="C22" s="29">
        <f>IF(Val_Pratique_Col-C$21-1000*(ROUNDDOWN(Val_Pratique_Col/1000,0))=0,IF(F22&gt;0,0,Val_Pratique_Col-C$21),Val_Pratique_Col-C$21-1000*(ROUNDDOWN(Val_Pratique_Col/1000,0)))</f>
        <v>0</v>
      </c>
      <c r="D22" s="29" t="str">
        <f>IF(AND(C24=0,F22=0),"Fin","Suite")</f>
        <v>Fin</v>
      </c>
      <c r="E22" s="134"/>
      <c r="F22" s="41">
        <f>IF(F21-1&lt;0,0,F21-1)</f>
        <v>0</v>
      </c>
      <c r="G22" s="73"/>
      <c r="H22" s="18"/>
      <c r="I22" s="18"/>
      <c r="J22" s="18"/>
      <c r="K22" s="18"/>
      <c r="L22" s="18"/>
      <c r="M22" s="18"/>
    </row>
    <row r="23" spans="1:13" s="24" customFormat="1" x14ac:dyDescent="0.25">
      <c r="A23" s="131"/>
      <c r="B23" s="29">
        <f>IF(COUNTIF(Liste_Pratique_Col,C23)&gt;0,IF(Indice_Residence=1,ROUND(Ristourne*(VLOOKUP(C23,Trad_Tarif_Ens_Thouareens,2,FALSE)),0),ROUND(Ristourne*(VLOOKUP(C23,Trad_Tarif_Ens_NonThouareens,2,FALSE)),0)),0)</f>
        <v>0</v>
      </c>
      <c r="C23" s="29">
        <f>IF(Val_Pratique_Col-C$21-C$22-10000*(ROUNDDOWN(Val_Pratique_Col/10000,0))=0,IF(F23&gt;0,0,Val_Pratique_Col-C$21-C$22),Val_Pratique_Col-C$21-C$22-10000*(ROUNDDOWN(Val_Pratique_Col/10000,0)))</f>
        <v>0</v>
      </c>
      <c r="D23" s="29" t="str">
        <f>IF(AND(C25=0,F23=0),"Fin","Suite")</f>
        <v>Fin</v>
      </c>
      <c r="E23" s="135"/>
      <c r="F23" s="41">
        <f>IF(F22-1&lt;0,0,F22-1)</f>
        <v>0</v>
      </c>
      <c r="G23" s="73"/>
      <c r="H23" s="18"/>
      <c r="I23" s="18"/>
      <c r="J23" s="18"/>
      <c r="K23" s="18"/>
      <c r="L23" s="18"/>
      <c r="M23" s="18"/>
    </row>
    <row r="24" spans="1:13" s="24" customFormat="1" ht="15.75" thickBot="1" x14ac:dyDescent="0.3">
      <c r="A24" s="49" t="s">
        <v>113</v>
      </c>
      <c r="B24" s="50">
        <f>SUM(B21:B23)</f>
        <v>0</v>
      </c>
      <c r="C24" s="46"/>
      <c r="D24" s="47"/>
      <c r="E24" s="47"/>
      <c r="F24" s="48"/>
      <c r="G24" s="73"/>
      <c r="H24" s="18"/>
      <c r="I24" s="18"/>
      <c r="J24" s="18"/>
      <c r="K24" s="18"/>
      <c r="L24" s="18"/>
      <c r="M24" s="18"/>
    </row>
    <row r="25" spans="1:13" ht="15.75" thickBot="1" x14ac:dyDescent="0.3">
      <c r="A25" s="25" t="s">
        <v>57</v>
      </c>
      <c r="B25" s="51">
        <f>IF(AND($B$19=0,$B$24=0),0,IF(Indice_Residence=1,Adhesion_Thouare,Adhesion_Hors_Thouare))</f>
        <v>0</v>
      </c>
      <c r="C25" s="74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x14ac:dyDescent="0.25">
      <c r="A26" s="76" t="s">
        <v>58</v>
      </c>
      <c r="B26" s="77">
        <f>$B$19+$B$24+$B$25</f>
        <v>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5.75" thickBot="1" x14ac:dyDescent="0.3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1:13" ht="16.5" customHeight="1" x14ac:dyDescent="0.25">
      <c r="A28" s="120" t="s">
        <v>84</v>
      </c>
      <c r="B28" s="78"/>
      <c r="C28" s="79" t="s">
        <v>47</v>
      </c>
      <c r="D28" s="79" t="s">
        <v>48</v>
      </c>
      <c r="E28" s="79" t="s">
        <v>49</v>
      </c>
      <c r="F28" s="79" t="s">
        <v>50</v>
      </c>
      <c r="G28" s="79" t="s">
        <v>51</v>
      </c>
      <c r="H28" s="79" t="s">
        <v>52</v>
      </c>
      <c r="I28" s="79" t="s">
        <v>53</v>
      </c>
      <c r="J28" s="79" t="s">
        <v>54</v>
      </c>
      <c r="K28" s="79" t="s">
        <v>55</v>
      </c>
      <c r="L28" s="80"/>
      <c r="M28" s="81" t="s">
        <v>119</v>
      </c>
    </row>
    <row r="29" spans="1:13" ht="15" customHeight="1" x14ac:dyDescent="0.25">
      <c r="A29" s="121"/>
      <c r="B29" s="75" t="s">
        <v>43</v>
      </c>
      <c r="C29" s="4">
        <f>IF($B$26=0,0,$B$26)</f>
        <v>0</v>
      </c>
      <c r="D29" s="4"/>
      <c r="E29" s="4"/>
      <c r="F29" s="4"/>
      <c r="G29" s="4"/>
      <c r="H29" s="4"/>
      <c r="I29" s="4"/>
      <c r="J29" s="4"/>
      <c r="K29" s="4"/>
      <c r="L29" s="42"/>
      <c r="M29" s="82">
        <f>SUM(C29:L29)</f>
        <v>0</v>
      </c>
    </row>
    <row r="30" spans="1:13" ht="15.75" customHeight="1" x14ac:dyDescent="0.25">
      <c r="A30" s="121"/>
      <c r="B30" s="75" t="s">
        <v>44</v>
      </c>
      <c r="C30" s="4">
        <f>IF($B$26=0,0,B26-2*(ROUND(($B$26-30)/3,0)))</f>
        <v>0</v>
      </c>
      <c r="D30" s="4"/>
      <c r="E30" s="4"/>
      <c r="F30" s="4">
        <f>IF($B$26=0,0,ROUND(($B$26-30)/3,0))</f>
        <v>0</v>
      </c>
      <c r="G30" s="4"/>
      <c r="H30" s="4"/>
      <c r="I30" s="4">
        <f>IF($B$26=0,0,ROUND(($B$26-30)/3,0))</f>
        <v>0</v>
      </c>
      <c r="J30" s="4"/>
      <c r="K30" s="4"/>
      <c r="L30" s="42"/>
      <c r="M30" s="82">
        <f>SUM(C30:L30)</f>
        <v>0</v>
      </c>
    </row>
    <row r="31" spans="1:13" ht="15.75" thickBot="1" x14ac:dyDescent="0.3">
      <c r="A31" s="122"/>
      <c r="B31" s="83" t="s">
        <v>45</v>
      </c>
      <c r="C31" s="84">
        <f>IF($B$26=0,0,$B$26-8*(ROUND(($B$26-30)/9,0)))</f>
        <v>0</v>
      </c>
      <c r="D31" s="84">
        <f>IF($B$26=0,0,ROUND(($B$26-30)/9,0))</f>
        <v>0</v>
      </c>
      <c r="E31" s="84">
        <f t="shared" ref="E31:K31" si="4">IF($B$26=0,0,ROUND(($B$26-30)/9,0))</f>
        <v>0</v>
      </c>
      <c r="F31" s="84">
        <f t="shared" si="4"/>
        <v>0</v>
      </c>
      <c r="G31" s="84">
        <f t="shared" si="4"/>
        <v>0</v>
      </c>
      <c r="H31" s="84">
        <f t="shared" si="4"/>
        <v>0</v>
      </c>
      <c r="I31" s="84">
        <f t="shared" si="4"/>
        <v>0</v>
      </c>
      <c r="J31" s="84">
        <f t="shared" si="4"/>
        <v>0</v>
      </c>
      <c r="K31" s="84">
        <f t="shared" si="4"/>
        <v>0</v>
      </c>
      <c r="L31" s="85"/>
      <c r="M31" s="86">
        <f>SUM(C31:L31)</f>
        <v>0</v>
      </c>
    </row>
  </sheetData>
  <sheetProtection password="E5BA" sheet="1" objects="1" scenarios="1" selectLockedCells="1"/>
  <mergeCells count="7">
    <mergeCell ref="A1:M1"/>
    <mergeCell ref="A28:A31"/>
    <mergeCell ref="E12:E18"/>
    <mergeCell ref="A12:A18"/>
    <mergeCell ref="A20:A23"/>
    <mergeCell ref="A27:M27"/>
    <mergeCell ref="E20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46"/>
  <sheetViews>
    <sheetView topLeftCell="A13" workbookViewId="0">
      <selection activeCell="K24" sqref="K24"/>
    </sheetView>
  </sheetViews>
  <sheetFormatPr baseColWidth="10" defaultRowHeight="15" x14ac:dyDescent="0.25"/>
  <cols>
    <col min="1" max="1" width="63" customWidth="1"/>
    <col min="2" max="2" width="7" customWidth="1"/>
    <col min="3" max="3" width="9.85546875" style="38" customWidth="1"/>
    <col min="4" max="4" width="62.7109375" customWidth="1"/>
    <col min="5" max="5" width="25.140625" customWidth="1"/>
    <col min="6" max="6" width="5" customWidth="1"/>
    <col min="7" max="7" width="31.28515625" customWidth="1"/>
    <col min="8" max="8" width="16.5703125" customWidth="1"/>
    <col min="9" max="9" width="18.5703125" customWidth="1"/>
    <col min="11" max="11" width="9" customWidth="1"/>
    <col min="12" max="12" width="9" style="24" customWidth="1"/>
    <col min="13" max="13" width="78.85546875" customWidth="1"/>
    <col min="14" max="14" width="12.7109375" customWidth="1"/>
    <col min="15" max="15" width="128.140625" customWidth="1"/>
  </cols>
  <sheetData>
    <row r="1" spans="1:15" x14ac:dyDescent="0.25">
      <c r="A1" s="5" t="s">
        <v>24</v>
      </c>
      <c r="B1" s="6" t="s">
        <v>15</v>
      </c>
      <c r="C1" s="35" t="s">
        <v>14</v>
      </c>
      <c r="D1" s="5" t="s">
        <v>21</v>
      </c>
      <c r="E1" s="5" t="s">
        <v>22</v>
      </c>
      <c r="F1" s="5" t="s">
        <v>14</v>
      </c>
      <c r="G1" s="9" t="s">
        <v>8</v>
      </c>
      <c r="H1" s="6" t="s">
        <v>16</v>
      </c>
      <c r="I1" s="5" t="s">
        <v>7</v>
      </c>
      <c r="J1" s="5" t="s">
        <v>20</v>
      </c>
      <c r="K1" s="5" t="s">
        <v>69</v>
      </c>
      <c r="L1" s="5" t="s">
        <v>73</v>
      </c>
      <c r="M1" s="5" t="s">
        <v>70</v>
      </c>
      <c r="N1" s="25" t="s">
        <v>90</v>
      </c>
      <c r="O1" s="25" t="s">
        <v>82</v>
      </c>
    </row>
    <row r="2" spans="1:15" ht="30" x14ac:dyDescent="0.25">
      <c r="A2" s="3" t="s">
        <v>18</v>
      </c>
      <c r="B2" s="17">
        <v>1</v>
      </c>
      <c r="C2" s="36">
        <f>Tarif_Adhesion_Thouare</f>
        <v>31</v>
      </c>
      <c r="D2" s="136" t="s">
        <v>42</v>
      </c>
      <c r="E2" s="137"/>
      <c r="F2" s="138"/>
      <c r="G2" s="10" t="s">
        <v>9</v>
      </c>
      <c r="H2" s="7">
        <v>1</v>
      </c>
      <c r="I2" s="3" t="s">
        <v>13</v>
      </c>
      <c r="J2" s="8">
        <v>1</v>
      </c>
      <c r="K2" s="26" t="s">
        <v>71</v>
      </c>
      <c r="L2" s="27" t="s">
        <v>5</v>
      </c>
      <c r="M2" s="28" t="s">
        <v>75</v>
      </c>
      <c r="N2" t="str">
        <f>IF(LEFT('Fiche de calcul'!C10,6)="Erreur",LEFT('Fiche de calcul'!C10,7),"")</f>
        <v/>
      </c>
      <c r="O2" t="str">
        <f>IF(N2&lt;&gt;"","- Erreur de saisie "&amp;L2&amp;" : "&amp;VLOOKUP(Erreur_Eleve1,K1:M5,3,FALSE)&amp;CHAR(10),"")</f>
        <v/>
      </c>
    </row>
    <row r="3" spans="1:15" x14ac:dyDescent="0.25">
      <c r="A3" s="13" t="s">
        <v>19</v>
      </c>
      <c r="B3" s="17">
        <v>2</v>
      </c>
      <c r="C3" s="36">
        <f>Tarif_Adhesion_N_Thouare</f>
        <v>31</v>
      </c>
      <c r="D3" s="3" t="s">
        <v>23</v>
      </c>
      <c r="E3" s="11">
        <v>0</v>
      </c>
      <c r="F3" s="11">
        <v>0</v>
      </c>
      <c r="G3" s="10" t="s">
        <v>10</v>
      </c>
      <c r="H3" s="7">
        <v>2</v>
      </c>
      <c r="I3" s="3" t="s">
        <v>27</v>
      </c>
      <c r="J3" s="4">
        <v>2</v>
      </c>
      <c r="K3" s="29" t="s">
        <v>72</v>
      </c>
      <c r="L3" s="30" t="s">
        <v>5</v>
      </c>
      <c r="M3" s="29" t="s">
        <v>74</v>
      </c>
    </row>
    <row r="4" spans="1:15" x14ac:dyDescent="0.25">
      <c r="A4" s="5" t="s">
        <v>18</v>
      </c>
      <c r="B4" s="6" t="s">
        <v>15</v>
      </c>
      <c r="C4" s="35" t="s">
        <v>14</v>
      </c>
      <c r="D4" s="22" t="s">
        <v>103</v>
      </c>
      <c r="E4" s="12">
        <v>10</v>
      </c>
      <c r="F4" s="12">
        <f>Tarif_Prat_Coll_Suppl_Thouare</f>
        <v>43</v>
      </c>
      <c r="I4" s="3" t="s">
        <v>26</v>
      </c>
      <c r="J4" s="8">
        <v>3</v>
      </c>
      <c r="K4" s="29" t="s">
        <v>76</v>
      </c>
      <c r="L4" s="30" t="s">
        <v>5</v>
      </c>
      <c r="M4" s="29" t="s">
        <v>89</v>
      </c>
    </row>
    <row r="5" spans="1:15" x14ac:dyDescent="0.25">
      <c r="A5" s="14" t="s">
        <v>33</v>
      </c>
      <c r="B5" s="2">
        <v>10</v>
      </c>
      <c r="C5" s="37">
        <f>Tarif_Eveil_Thouare</f>
        <v>166</v>
      </c>
      <c r="D5" s="22" t="s">
        <v>104</v>
      </c>
      <c r="E5" s="12">
        <v>20</v>
      </c>
      <c r="F5" s="12">
        <f t="shared" ref="F5:F12" si="0">F4+Tarif_Prat_Coll_Suppl_Thouare</f>
        <v>86</v>
      </c>
      <c r="I5" s="3" t="s">
        <v>12</v>
      </c>
      <c r="J5" s="4">
        <v>4</v>
      </c>
      <c r="K5" s="31" t="s">
        <v>87</v>
      </c>
      <c r="L5" s="32" t="s">
        <v>5</v>
      </c>
      <c r="M5" s="31" t="s">
        <v>91</v>
      </c>
      <c r="N5" s="24"/>
    </row>
    <row r="6" spans="1:15" s="24" customFormat="1" ht="30" x14ac:dyDescent="0.25">
      <c r="A6" s="14" t="s">
        <v>34</v>
      </c>
      <c r="B6" s="2">
        <v>20</v>
      </c>
      <c r="C6" s="37">
        <f>C$5*2</f>
        <v>332</v>
      </c>
      <c r="D6" s="22" t="s">
        <v>105</v>
      </c>
      <c r="E6" s="12">
        <v>30</v>
      </c>
      <c r="F6" s="12">
        <f t="shared" si="0"/>
        <v>129</v>
      </c>
      <c r="I6" s="18"/>
      <c r="J6" s="19"/>
      <c r="K6" s="26" t="s">
        <v>71</v>
      </c>
      <c r="L6" s="27" t="s">
        <v>29</v>
      </c>
      <c r="M6" s="28" t="s">
        <v>75</v>
      </c>
      <c r="N6" s="24" t="str">
        <f>IF(LEFT('Fiche de calcul'!E10,6)="Erreur",LEFT('Fiche de calcul'!E10,7),"")</f>
        <v/>
      </c>
      <c r="O6" s="24" t="str">
        <f>IF(N6&lt;&gt;"","- Erreur de saisie "&amp;L6&amp;" : "&amp;VLOOKUP(Erreur_Eleve2,K6:M9,3,FALSE)&amp;CHAR(10),"")</f>
        <v/>
      </c>
    </row>
    <row r="7" spans="1:15" x14ac:dyDescent="0.25">
      <c r="A7" s="14" t="s">
        <v>35</v>
      </c>
      <c r="B7" s="2">
        <v>30</v>
      </c>
      <c r="C7" s="37">
        <f>C$5*3</f>
        <v>498</v>
      </c>
      <c r="D7" s="22" t="s">
        <v>106</v>
      </c>
      <c r="E7" s="12">
        <v>40</v>
      </c>
      <c r="F7" s="12">
        <f t="shared" si="0"/>
        <v>172</v>
      </c>
      <c r="I7" s="18"/>
      <c r="J7" s="19"/>
      <c r="K7" s="29" t="s">
        <v>72</v>
      </c>
      <c r="L7" s="30" t="s">
        <v>29</v>
      </c>
      <c r="M7" s="29" t="s">
        <v>74</v>
      </c>
      <c r="N7" s="24"/>
      <c r="O7" s="24"/>
    </row>
    <row r="8" spans="1:15" s="24" customFormat="1" x14ac:dyDescent="0.25">
      <c r="A8" s="14" t="s">
        <v>37</v>
      </c>
      <c r="B8" s="2">
        <v>40</v>
      </c>
      <c r="C8" s="37">
        <f>C$5*4</f>
        <v>664</v>
      </c>
      <c r="D8" s="22" t="s">
        <v>107</v>
      </c>
      <c r="E8" s="12">
        <v>50</v>
      </c>
      <c r="F8" s="12">
        <f t="shared" si="0"/>
        <v>215</v>
      </c>
      <c r="I8" s="18"/>
      <c r="J8" s="19"/>
      <c r="K8" s="29" t="s">
        <v>76</v>
      </c>
      <c r="L8" s="30" t="s">
        <v>29</v>
      </c>
      <c r="M8" s="29" t="s">
        <v>88</v>
      </c>
    </row>
    <row r="9" spans="1:15" s="24" customFormat="1" x14ac:dyDescent="0.25">
      <c r="A9" s="14" t="s">
        <v>99</v>
      </c>
      <c r="B9" s="2">
        <v>50</v>
      </c>
      <c r="C9" s="37">
        <f>C$5*5</f>
        <v>830</v>
      </c>
      <c r="D9" s="22" t="s">
        <v>108</v>
      </c>
      <c r="E9" s="12">
        <v>60</v>
      </c>
      <c r="F9" s="12">
        <f t="shared" si="0"/>
        <v>258</v>
      </c>
      <c r="I9" s="18"/>
      <c r="J9" s="19"/>
      <c r="K9" s="31" t="s">
        <v>87</v>
      </c>
      <c r="L9" s="32" t="s">
        <v>29</v>
      </c>
      <c r="M9" s="31" t="s">
        <v>91</v>
      </c>
    </row>
    <row r="10" spans="1:15" ht="30" x14ac:dyDescent="0.25">
      <c r="A10" s="14" t="s">
        <v>36</v>
      </c>
      <c r="B10" s="2">
        <v>100</v>
      </c>
      <c r="C10" s="37">
        <f>Tarif_FM_Thouare</f>
        <v>230</v>
      </c>
      <c r="D10" s="22" t="s">
        <v>109</v>
      </c>
      <c r="E10" s="12">
        <v>70</v>
      </c>
      <c r="F10" s="12">
        <f t="shared" si="0"/>
        <v>301</v>
      </c>
      <c r="I10" s="18"/>
      <c r="J10" s="19"/>
      <c r="K10" s="26" t="s">
        <v>71</v>
      </c>
      <c r="L10" s="27" t="s">
        <v>30</v>
      </c>
      <c r="M10" s="28" t="s">
        <v>75</v>
      </c>
      <c r="N10" s="24" t="str">
        <f>IF(LEFT('Fiche de calcul'!G10,6)="Erreur",LEFT('Fiche de calcul'!G10,7),"")</f>
        <v/>
      </c>
      <c r="O10" s="24" t="str">
        <f>IF(N10&lt;&gt;"","- Erreur de saisie "&amp;L10&amp;" : "&amp;VLOOKUP(Erreur_Eleve3,K10:M13,3,FALSE)&amp;CHAR(10),"")</f>
        <v/>
      </c>
    </row>
    <row r="11" spans="1:15" x14ac:dyDescent="0.25">
      <c r="A11" s="14" t="s">
        <v>38</v>
      </c>
      <c r="B11" s="2">
        <v>200</v>
      </c>
      <c r="C11" s="37">
        <f>C$10*2</f>
        <v>460</v>
      </c>
      <c r="D11" s="22" t="s">
        <v>110</v>
      </c>
      <c r="E11" s="12">
        <v>80</v>
      </c>
      <c r="F11" s="12">
        <f t="shared" si="0"/>
        <v>344</v>
      </c>
      <c r="I11" s="18"/>
      <c r="J11" s="19"/>
      <c r="K11" s="29" t="s">
        <v>72</v>
      </c>
      <c r="L11" s="30" t="s">
        <v>30</v>
      </c>
      <c r="M11" s="29" t="s">
        <v>74</v>
      </c>
      <c r="N11" s="24" t="str">
        <f>IF(LEFT('Fiche de calcul'!I10,6)="Erreur",LEFT('Fiche de calcul'!I10,7),"")</f>
        <v/>
      </c>
      <c r="O11" s="24"/>
    </row>
    <row r="12" spans="1:15" s="24" customFormat="1" x14ac:dyDescent="0.25">
      <c r="A12" s="14" t="s">
        <v>39</v>
      </c>
      <c r="B12" s="2">
        <v>300</v>
      </c>
      <c r="C12" s="37">
        <f>C$10*3</f>
        <v>690</v>
      </c>
      <c r="D12" s="22" t="s">
        <v>111</v>
      </c>
      <c r="E12" s="12">
        <v>90</v>
      </c>
      <c r="F12" s="12">
        <f t="shared" si="0"/>
        <v>387</v>
      </c>
      <c r="I12" s="18"/>
      <c r="J12" s="19"/>
      <c r="K12" s="29" t="s">
        <v>76</v>
      </c>
      <c r="L12" s="30" t="s">
        <v>30</v>
      </c>
      <c r="M12" s="29" t="s">
        <v>89</v>
      </c>
    </row>
    <row r="13" spans="1:15" x14ac:dyDescent="0.25">
      <c r="A13" s="14" t="s">
        <v>40</v>
      </c>
      <c r="B13" s="1">
        <v>400</v>
      </c>
      <c r="C13" s="37">
        <f>C$10*4</f>
        <v>920</v>
      </c>
      <c r="D13" s="22" t="s">
        <v>79</v>
      </c>
      <c r="E13" s="12">
        <v>100</v>
      </c>
      <c r="F13" s="12">
        <f>Tarif_Prat_Coll_seule_Thouare</f>
        <v>96</v>
      </c>
      <c r="I13" s="18"/>
      <c r="J13" s="19"/>
      <c r="K13" s="31" t="s">
        <v>87</v>
      </c>
      <c r="L13" s="32" t="s">
        <v>30</v>
      </c>
      <c r="M13" s="31" t="s">
        <v>91</v>
      </c>
      <c r="N13" s="24" t="str">
        <f>IF(LEFT('Fiche de calcul'!G10,6)="Erreur",LEFT('Fiche de calcul'!G10,7),"")</f>
        <v/>
      </c>
      <c r="O13" s="24"/>
    </row>
    <row r="14" spans="1:15" ht="30" x14ac:dyDescent="0.25">
      <c r="A14" s="15" t="s">
        <v>94</v>
      </c>
      <c r="B14" s="1">
        <v>1000</v>
      </c>
      <c r="C14" s="37">
        <f>Tarif_Inst_seul_Thouare</f>
        <v>525</v>
      </c>
      <c r="D14" s="22" t="s">
        <v>77</v>
      </c>
      <c r="E14" s="12">
        <v>200</v>
      </c>
      <c r="F14" s="12">
        <f>F13+Tarif_Prat_Coll_seule_Thouare</f>
        <v>192</v>
      </c>
      <c r="I14" s="18"/>
      <c r="J14" s="19"/>
      <c r="K14" s="26" t="s">
        <v>71</v>
      </c>
      <c r="L14" s="27" t="s">
        <v>31</v>
      </c>
      <c r="M14" s="28" t="s">
        <v>75</v>
      </c>
      <c r="N14" s="24" t="str">
        <f>IF(LEFT('Fiche de calcul'!I10,6)="Erreur",LEFT('Fiche de calcul'!I10,7),"")</f>
        <v/>
      </c>
      <c r="O14" s="24" t="str">
        <f>IF(N14&lt;&gt;"","- Erreur de saisie "&amp;L14&amp;" : "&amp;VLOOKUP(Erreur_Eleve4,K14:M17,3,FALSE)&amp;CHAR(10),"")</f>
        <v/>
      </c>
    </row>
    <row r="15" spans="1:15" s="24" customFormat="1" x14ac:dyDescent="0.25">
      <c r="A15" s="15" t="s">
        <v>95</v>
      </c>
      <c r="B15" s="1">
        <v>2000</v>
      </c>
      <c r="C15" s="37">
        <f>C$14*2</f>
        <v>1050</v>
      </c>
      <c r="D15" s="22" t="s">
        <v>78</v>
      </c>
      <c r="E15" s="12">
        <v>300</v>
      </c>
      <c r="F15" s="12">
        <f>F14+Tarif_Prat_Coll_seule_Thouare</f>
        <v>288</v>
      </c>
      <c r="I15" s="18"/>
      <c r="J15" s="19"/>
      <c r="K15" s="29" t="s">
        <v>72</v>
      </c>
      <c r="L15" s="30" t="s">
        <v>31</v>
      </c>
      <c r="M15" s="29" t="s">
        <v>74</v>
      </c>
    </row>
    <row r="16" spans="1:15" s="24" customFormat="1" x14ac:dyDescent="0.25">
      <c r="A16" s="15" t="s">
        <v>96</v>
      </c>
      <c r="B16" s="1">
        <v>3000</v>
      </c>
      <c r="C16" s="37">
        <f>C$14*3</f>
        <v>1575</v>
      </c>
      <c r="D16" s="22" t="s">
        <v>80</v>
      </c>
      <c r="E16" s="12">
        <v>400</v>
      </c>
      <c r="F16" s="12">
        <f>F15+Tarif_Prat_Coll_seule_Thouare</f>
        <v>384</v>
      </c>
      <c r="I16" s="18"/>
      <c r="J16" s="19"/>
      <c r="K16" s="29" t="s">
        <v>76</v>
      </c>
      <c r="L16" s="30" t="s">
        <v>31</v>
      </c>
      <c r="M16" s="29" t="s">
        <v>89</v>
      </c>
    </row>
    <row r="17" spans="1:15" x14ac:dyDescent="0.25">
      <c r="A17" s="15" t="s">
        <v>97</v>
      </c>
      <c r="B17" s="1">
        <v>4000</v>
      </c>
      <c r="C17" s="37">
        <f>C$14*4</f>
        <v>2100</v>
      </c>
      <c r="D17" s="22" t="s">
        <v>81</v>
      </c>
      <c r="E17" s="12">
        <v>500</v>
      </c>
      <c r="F17" s="12">
        <f>F16+Tarif_Prat_Coll_seule_Thouare</f>
        <v>480</v>
      </c>
      <c r="K17" s="31" t="s">
        <v>87</v>
      </c>
      <c r="L17" s="32" t="s">
        <v>31</v>
      </c>
      <c r="M17" s="31" t="s">
        <v>91</v>
      </c>
    </row>
    <row r="18" spans="1:15" ht="30" x14ac:dyDescent="0.25">
      <c r="A18" s="15" t="s">
        <v>98</v>
      </c>
      <c r="B18" s="1">
        <v>5000</v>
      </c>
      <c r="C18" s="37">
        <f>C$14*5</f>
        <v>2625</v>
      </c>
      <c r="D18" s="136" t="s">
        <v>42</v>
      </c>
      <c r="E18" s="137"/>
      <c r="F18" s="138"/>
      <c r="K18" s="26" t="s">
        <v>71</v>
      </c>
      <c r="L18" s="27" t="s">
        <v>32</v>
      </c>
      <c r="M18" s="28" t="s">
        <v>75</v>
      </c>
      <c r="N18" t="str">
        <f>IF(LEFT('Fiche de calcul'!K10,6)="Erreur",LEFT('Fiche de calcul'!K10,7),"")</f>
        <v/>
      </c>
      <c r="O18" s="24" t="str">
        <f>IF(N18&lt;&gt;"","- Erreur de saisie "&amp;L18&amp;" : "&amp;VLOOKUP(Erreur_Eleve5,K18:M21,3,FALSE)&amp;CHAR(10),"")</f>
        <v/>
      </c>
    </row>
    <row r="19" spans="1:15" x14ac:dyDescent="0.25">
      <c r="A19" s="1" t="s">
        <v>28</v>
      </c>
      <c r="B19" s="2">
        <v>10000</v>
      </c>
      <c r="C19" s="37">
        <f>Tarif_Inst_FM_Thouare</f>
        <v>551</v>
      </c>
      <c r="D19" s="3" t="s">
        <v>23</v>
      </c>
      <c r="E19" s="11">
        <v>0</v>
      </c>
      <c r="F19" s="11">
        <v>0</v>
      </c>
      <c r="K19" s="29" t="s">
        <v>72</v>
      </c>
      <c r="L19" s="30" t="s">
        <v>32</v>
      </c>
      <c r="M19" s="29" t="s">
        <v>74</v>
      </c>
    </row>
    <row r="20" spans="1:15" x14ac:dyDescent="0.25">
      <c r="A20" s="2" t="s">
        <v>25</v>
      </c>
      <c r="B20" s="1">
        <v>200000</v>
      </c>
      <c r="C20" s="37">
        <f>C$19+C$14</f>
        <v>1076</v>
      </c>
      <c r="D20" s="22" t="s">
        <v>103</v>
      </c>
      <c r="E20" s="12">
        <v>10</v>
      </c>
      <c r="F20" s="12">
        <f>Tarif_Prat_Coll_Suppl_N_Thouare</f>
        <v>57</v>
      </c>
      <c r="K20" s="29" t="s">
        <v>76</v>
      </c>
      <c r="L20" s="30" t="s">
        <v>32</v>
      </c>
      <c r="M20" s="29" t="s">
        <v>89</v>
      </c>
    </row>
    <row r="21" spans="1:15" x14ac:dyDescent="0.25">
      <c r="A21" s="15" t="s">
        <v>1</v>
      </c>
      <c r="B21" s="2">
        <v>20000</v>
      </c>
      <c r="C21" s="37">
        <f>C$19*2</f>
        <v>1102</v>
      </c>
      <c r="D21" s="22" t="s">
        <v>104</v>
      </c>
      <c r="E21" s="12">
        <v>20</v>
      </c>
      <c r="F21" s="12">
        <f t="shared" ref="F21:F28" si="1">F20+Tarif_Prat_Coll_Suppl_N_Thouare</f>
        <v>114</v>
      </c>
      <c r="K21" s="31" t="s">
        <v>87</v>
      </c>
      <c r="L21" s="32" t="s">
        <v>32</v>
      </c>
      <c r="M21" s="31" t="s">
        <v>91</v>
      </c>
    </row>
    <row r="22" spans="1:15" x14ac:dyDescent="0.25">
      <c r="A22" s="15" t="s">
        <v>2</v>
      </c>
      <c r="B22" s="1">
        <v>30000</v>
      </c>
      <c r="C22" s="37">
        <f>C$19*3</f>
        <v>1653</v>
      </c>
      <c r="D22" s="22" t="s">
        <v>105</v>
      </c>
      <c r="E22" s="12">
        <v>30</v>
      </c>
      <c r="F22" s="12">
        <f t="shared" si="1"/>
        <v>171</v>
      </c>
    </row>
    <row r="23" spans="1:15" x14ac:dyDescent="0.25">
      <c r="A23" s="15" t="s">
        <v>3</v>
      </c>
      <c r="B23" s="2">
        <v>40000</v>
      </c>
      <c r="C23" s="37">
        <f>C$19*4</f>
        <v>2204</v>
      </c>
      <c r="D23" s="22" t="s">
        <v>106</v>
      </c>
      <c r="E23" s="12">
        <v>40</v>
      </c>
      <c r="F23" s="12">
        <f t="shared" si="1"/>
        <v>228</v>
      </c>
    </row>
    <row r="24" spans="1:15" x14ac:dyDescent="0.25">
      <c r="A24" s="14" t="s">
        <v>100</v>
      </c>
      <c r="B24" s="2">
        <v>50000</v>
      </c>
      <c r="C24" s="37">
        <f>C$19*5</f>
        <v>2755</v>
      </c>
      <c r="D24" s="22" t="s">
        <v>107</v>
      </c>
      <c r="E24" s="12">
        <v>50</v>
      </c>
      <c r="F24" s="12">
        <f t="shared" si="1"/>
        <v>285</v>
      </c>
    </row>
    <row r="25" spans="1:15" x14ac:dyDescent="0.25">
      <c r="A25" s="16" t="s">
        <v>19</v>
      </c>
      <c r="B25" s="6" t="s">
        <v>15</v>
      </c>
      <c r="C25" s="35" t="s">
        <v>14</v>
      </c>
      <c r="D25" s="22" t="s">
        <v>108</v>
      </c>
      <c r="E25" s="12">
        <v>60</v>
      </c>
      <c r="F25" s="12">
        <f t="shared" si="1"/>
        <v>342</v>
      </c>
    </row>
    <row r="26" spans="1:15" x14ac:dyDescent="0.25">
      <c r="A26" s="14" t="s">
        <v>33</v>
      </c>
      <c r="B26" s="2">
        <v>10</v>
      </c>
      <c r="C26" s="37">
        <f>Tarif_Eveil_N_Thouare</f>
        <v>179</v>
      </c>
      <c r="D26" s="22" t="s">
        <v>109</v>
      </c>
      <c r="E26" s="12">
        <v>70</v>
      </c>
      <c r="F26" s="12">
        <f t="shared" si="1"/>
        <v>399</v>
      </c>
    </row>
    <row r="27" spans="1:15" x14ac:dyDescent="0.25">
      <c r="A27" s="14" t="s">
        <v>34</v>
      </c>
      <c r="B27" s="2">
        <v>20</v>
      </c>
      <c r="C27" s="37">
        <f>C$26*2</f>
        <v>358</v>
      </c>
      <c r="D27" s="22" t="s">
        <v>110</v>
      </c>
      <c r="E27" s="12">
        <v>80</v>
      </c>
      <c r="F27" s="12">
        <f t="shared" si="1"/>
        <v>456</v>
      </c>
    </row>
    <row r="28" spans="1:15" x14ac:dyDescent="0.25">
      <c r="A28" s="14" t="s">
        <v>35</v>
      </c>
      <c r="B28" s="2">
        <v>30</v>
      </c>
      <c r="C28" s="37">
        <f>C$26*3</f>
        <v>537</v>
      </c>
      <c r="D28" s="22" t="s">
        <v>111</v>
      </c>
      <c r="E28" s="12">
        <v>90</v>
      </c>
      <c r="F28" s="12">
        <f t="shared" si="1"/>
        <v>513</v>
      </c>
    </row>
    <row r="29" spans="1:15" x14ac:dyDescent="0.25">
      <c r="A29" s="14" t="s">
        <v>37</v>
      </c>
      <c r="B29" s="2">
        <v>40</v>
      </c>
      <c r="C29" s="37">
        <f>C$26*4</f>
        <v>716</v>
      </c>
      <c r="D29" s="22" t="s">
        <v>79</v>
      </c>
      <c r="E29" s="12">
        <v>100</v>
      </c>
      <c r="F29" s="12">
        <f>Tarif_Prat_Coll_seule_N_Thouare</f>
        <v>127</v>
      </c>
    </row>
    <row r="30" spans="1:15" x14ac:dyDescent="0.25">
      <c r="A30" s="14" t="s">
        <v>99</v>
      </c>
      <c r="B30" s="2">
        <v>50</v>
      </c>
      <c r="C30" s="37">
        <f>C$26*5</f>
        <v>895</v>
      </c>
      <c r="D30" s="22" t="s">
        <v>77</v>
      </c>
      <c r="E30" s="12">
        <v>200</v>
      </c>
      <c r="F30" s="12">
        <f>F29+Tarif_Prat_Coll_seule_N_Thouare</f>
        <v>254</v>
      </c>
    </row>
    <row r="31" spans="1:15" x14ac:dyDescent="0.25">
      <c r="A31" s="14" t="s">
        <v>36</v>
      </c>
      <c r="B31" s="2">
        <v>100</v>
      </c>
      <c r="C31" s="37">
        <f>Tarif_FM_N_Thouare</f>
        <v>254</v>
      </c>
      <c r="D31" s="22" t="s">
        <v>78</v>
      </c>
      <c r="E31" s="12">
        <v>300</v>
      </c>
      <c r="F31" s="12">
        <f>F30+Tarif_Prat_Coll_seule_N_Thouare</f>
        <v>381</v>
      </c>
    </row>
    <row r="32" spans="1:15" x14ac:dyDescent="0.25">
      <c r="A32" s="14" t="s">
        <v>38</v>
      </c>
      <c r="B32" s="2">
        <v>200</v>
      </c>
      <c r="C32" s="37">
        <f>C$31*2</f>
        <v>508</v>
      </c>
      <c r="D32" s="22" t="s">
        <v>80</v>
      </c>
      <c r="E32" s="12">
        <v>400</v>
      </c>
      <c r="F32" s="12">
        <f>F31+Tarif_Prat_Coll_seule_N_Thouare</f>
        <v>508</v>
      </c>
    </row>
    <row r="33" spans="1:12" x14ac:dyDescent="0.25">
      <c r="A33" s="14" t="s">
        <v>39</v>
      </c>
      <c r="B33" s="2">
        <v>300</v>
      </c>
      <c r="C33" s="37">
        <f>C$31*3</f>
        <v>762</v>
      </c>
      <c r="D33" s="22" t="s">
        <v>81</v>
      </c>
      <c r="E33" s="12">
        <v>500</v>
      </c>
      <c r="F33" s="12">
        <f>F32+Tarif_Prat_Coll_seule_N_Thouare</f>
        <v>635</v>
      </c>
    </row>
    <row r="34" spans="1:12" x14ac:dyDescent="0.25">
      <c r="A34" s="14" t="s">
        <v>40</v>
      </c>
      <c r="B34" s="1">
        <v>400</v>
      </c>
      <c r="C34" s="37">
        <f>C$31*4</f>
        <v>1016</v>
      </c>
      <c r="I34" s="24"/>
      <c r="L34"/>
    </row>
    <row r="35" spans="1:12" x14ac:dyDescent="0.25">
      <c r="A35" s="14" t="s">
        <v>101</v>
      </c>
      <c r="B35" s="1">
        <v>500</v>
      </c>
      <c r="C35" s="37">
        <f>C$31*5</f>
        <v>1270</v>
      </c>
      <c r="I35" s="24"/>
      <c r="L35"/>
    </row>
    <row r="36" spans="1:12" x14ac:dyDescent="0.25">
      <c r="A36" s="15" t="s">
        <v>94</v>
      </c>
      <c r="B36" s="1">
        <v>1000</v>
      </c>
      <c r="C36" s="37">
        <f>Tarif_Inst_seul_N_Thouare</f>
        <v>704</v>
      </c>
      <c r="I36" s="24"/>
      <c r="L36"/>
    </row>
    <row r="37" spans="1:12" x14ac:dyDescent="0.25">
      <c r="A37" s="15" t="s">
        <v>95</v>
      </c>
      <c r="B37" s="1">
        <v>2000</v>
      </c>
      <c r="C37" s="37">
        <f>C$36*2</f>
        <v>1408</v>
      </c>
      <c r="I37" s="24"/>
      <c r="L37"/>
    </row>
    <row r="38" spans="1:12" x14ac:dyDescent="0.25">
      <c r="A38" s="15" t="s">
        <v>96</v>
      </c>
      <c r="B38" s="1">
        <v>3000</v>
      </c>
      <c r="C38" s="37">
        <f>C$36*3</f>
        <v>2112</v>
      </c>
      <c r="I38" s="24"/>
      <c r="L38"/>
    </row>
    <row r="39" spans="1:12" x14ac:dyDescent="0.25">
      <c r="A39" s="15" t="s">
        <v>97</v>
      </c>
      <c r="B39" s="1">
        <v>4000</v>
      </c>
      <c r="C39" s="37">
        <f>C$36*4</f>
        <v>2816</v>
      </c>
      <c r="I39" s="24"/>
      <c r="L39"/>
    </row>
    <row r="40" spans="1:12" x14ac:dyDescent="0.25">
      <c r="A40" s="15" t="s">
        <v>98</v>
      </c>
      <c r="B40" s="1">
        <v>5000</v>
      </c>
      <c r="C40" s="37">
        <f>C$36*5</f>
        <v>3520</v>
      </c>
      <c r="I40" s="24"/>
      <c r="L40"/>
    </row>
    <row r="41" spans="1:12" x14ac:dyDescent="0.25">
      <c r="A41" s="1" t="s">
        <v>28</v>
      </c>
      <c r="B41" s="2">
        <v>10000</v>
      </c>
      <c r="C41" s="37">
        <f>Tarif_Inst_FM_N_Thouare</f>
        <v>729</v>
      </c>
      <c r="I41" s="24"/>
      <c r="L41"/>
    </row>
    <row r="42" spans="1:12" x14ac:dyDescent="0.25">
      <c r="A42" s="2" t="s">
        <v>25</v>
      </c>
      <c r="B42" s="1">
        <v>200000</v>
      </c>
      <c r="C42" s="37">
        <f>C$41+C$36</f>
        <v>1433</v>
      </c>
      <c r="I42" s="24"/>
      <c r="L42"/>
    </row>
    <row r="43" spans="1:12" x14ac:dyDescent="0.25">
      <c r="A43" s="15" t="s">
        <v>1</v>
      </c>
      <c r="B43" s="2">
        <v>20000</v>
      </c>
      <c r="C43" s="37">
        <f>C$41*2</f>
        <v>1458</v>
      </c>
    </row>
    <row r="44" spans="1:12" x14ac:dyDescent="0.25">
      <c r="A44" s="15" t="s">
        <v>2</v>
      </c>
      <c r="B44" s="1">
        <v>30000</v>
      </c>
      <c r="C44" s="37">
        <f>C$41*3</f>
        <v>2187</v>
      </c>
    </row>
    <row r="45" spans="1:12" x14ac:dyDescent="0.25">
      <c r="A45" s="15" t="s">
        <v>3</v>
      </c>
      <c r="B45" s="2">
        <v>40000</v>
      </c>
      <c r="C45" s="37">
        <f>C$41*4</f>
        <v>2916</v>
      </c>
    </row>
    <row r="46" spans="1:12" x14ac:dyDescent="0.25">
      <c r="A46" s="14" t="s">
        <v>102</v>
      </c>
      <c r="B46" s="2">
        <v>50000</v>
      </c>
      <c r="C46" s="37">
        <f>C$41*5</f>
        <v>3645</v>
      </c>
    </row>
  </sheetData>
  <sheetProtection password="E5BA" sheet="1" objects="1" scenarios="1" selectLockedCells="1"/>
  <mergeCells count="2">
    <mergeCell ref="D2:F2"/>
    <mergeCell ref="D18:F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9" tint="0.79998168889431442"/>
  </sheetPr>
  <dimension ref="B1:Q36"/>
  <sheetViews>
    <sheetView tabSelected="1" zoomScaleNormal="100" workbookViewId="0">
      <selection activeCell="D20" sqref="D20:E20"/>
    </sheetView>
  </sheetViews>
  <sheetFormatPr baseColWidth="10" defaultColWidth="21.85546875" defaultRowHeight="15" x14ac:dyDescent="0.25"/>
  <cols>
    <col min="1" max="1" width="9.5703125" style="20" customWidth="1"/>
    <col min="2" max="2" width="21.7109375" style="20" customWidth="1"/>
    <col min="3" max="3" width="16.42578125" style="20" customWidth="1"/>
    <col min="4" max="12" width="10.28515625" style="20" customWidth="1"/>
    <col min="13" max="17" width="7.7109375" style="20" customWidth="1"/>
    <col min="18" max="16384" width="21.85546875" style="20"/>
  </cols>
  <sheetData>
    <row r="1" spans="2:13" ht="21.75" customHeight="1" x14ac:dyDescent="0.25">
      <c r="E1" s="152"/>
      <c r="F1" s="152"/>
      <c r="G1" s="152"/>
      <c r="H1" s="152"/>
      <c r="I1" s="152"/>
      <c r="J1" s="152"/>
      <c r="K1" s="152"/>
      <c r="L1" s="152"/>
      <c r="M1" s="152"/>
    </row>
    <row r="2" spans="2:13" ht="21.75" customHeight="1" x14ac:dyDescent="0.25">
      <c r="B2" s="21"/>
      <c r="C2" s="21"/>
      <c r="D2" s="21"/>
      <c r="E2" s="152"/>
      <c r="F2" s="152"/>
      <c r="G2" s="152"/>
      <c r="H2" s="152"/>
      <c r="I2" s="152"/>
      <c r="J2" s="152"/>
      <c r="K2" s="152"/>
      <c r="L2" s="152"/>
      <c r="M2" s="152"/>
    </row>
    <row r="3" spans="2:13" ht="21.75" customHeight="1" x14ac:dyDescent="0.25">
      <c r="B3" s="21"/>
      <c r="C3" s="21"/>
      <c r="D3" s="21"/>
      <c r="E3" s="152"/>
      <c r="F3" s="152"/>
      <c r="G3" s="152"/>
      <c r="H3" s="152"/>
      <c r="I3" s="152"/>
      <c r="J3" s="152"/>
      <c r="K3" s="152"/>
      <c r="L3" s="152"/>
      <c r="M3" s="152"/>
    </row>
    <row r="4" spans="2:13" ht="21.75" customHeight="1" thickBot="1" x14ac:dyDescent="0.3">
      <c r="B4" s="21"/>
      <c r="C4" s="21"/>
      <c r="D4" s="21"/>
      <c r="E4" s="153"/>
      <c r="F4" s="153"/>
      <c r="G4" s="153"/>
      <c r="H4" s="153"/>
      <c r="I4" s="153"/>
      <c r="J4" s="153"/>
      <c r="K4" s="153"/>
      <c r="L4" s="153"/>
      <c r="M4" s="153"/>
    </row>
    <row r="5" spans="2:13" ht="30" customHeight="1" thickBot="1" x14ac:dyDescent="0.3">
      <c r="B5" s="161" t="s">
        <v>130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</row>
    <row r="6" spans="2:13" ht="14.25" customHeight="1" x14ac:dyDescent="0.25">
      <c r="B6" s="139" t="s">
        <v>139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</row>
    <row r="7" spans="2:13" ht="14.25" customHeight="1" x14ac:dyDescent="0.25"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2:13" ht="14.25" customHeight="1" x14ac:dyDescent="0.25"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</row>
    <row r="9" spans="2:13" ht="14.25" customHeight="1" x14ac:dyDescent="0.25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4"/>
    </row>
    <row r="10" spans="2:13" ht="14.25" customHeight="1" x14ac:dyDescent="0.25">
      <c r="B10" s="142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4"/>
    </row>
    <row r="11" spans="2:13" ht="14.25" customHeight="1" x14ac:dyDescent="0.25"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</row>
    <row r="12" spans="2:13" ht="14.25" customHeight="1" x14ac:dyDescent="0.25"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4"/>
    </row>
    <row r="13" spans="2:13" ht="14.25" customHeight="1" x14ac:dyDescent="0.25">
      <c r="B13" s="142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4"/>
    </row>
    <row r="14" spans="2:13" ht="14.25" customHeight="1" thickBot="1" x14ac:dyDescent="0.3">
      <c r="B14" s="14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</row>
    <row r="15" spans="2:13" x14ac:dyDescent="0.25">
      <c r="B15" s="148" t="s">
        <v>8</v>
      </c>
      <c r="C15" s="149"/>
      <c r="D15" s="156"/>
      <c r="E15" s="156"/>
      <c r="F15" s="156"/>
      <c r="G15" s="156"/>
      <c r="H15" s="157"/>
      <c r="I15" s="157"/>
      <c r="J15" s="157"/>
      <c r="K15" s="157"/>
      <c r="L15" s="157"/>
      <c r="M15" s="158"/>
    </row>
    <row r="16" spans="2:13" x14ac:dyDescent="0.25">
      <c r="B16" s="150"/>
      <c r="C16" s="151"/>
      <c r="D16" s="154" t="s">
        <v>5</v>
      </c>
      <c r="E16" s="154"/>
      <c r="F16" s="154" t="s">
        <v>29</v>
      </c>
      <c r="G16" s="154"/>
      <c r="H16" s="154" t="s">
        <v>30</v>
      </c>
      <c r="I16" s="154"/>
      <c r="J16" s="154" t="s">
        <v>31</v>
      </c>
      <c r="K16" s="154"/>
      <c r="L16" s="154" t="s">
        <v>32</v>
      </c>
      <c r="M16" s="160"/>
    </row>
    <row r="17" spans="2:17" x14ac:dyDescent="0.25">
      <c r="B17" s="150" t="s">
        <v>46</v>
      </c>
      <c r="C17" s="151"/>
      <c r="D17" s="155"/>
      <c r="E17" s="155"/>
      <c r="F17" s="155"/>
      <c r="G17" s="155"/>
      <c r="H17" s="155"/>
      <c r="I17" s="155"/>
      <c r="J17" s="155"/>
      <c r="K17" s="155"/>
      <c r="L17" s="155"/>
      <c r="M17" s="159"/>
    </row>
    <row r="18" spans="2:17" x14ac:dyDescent="0.25">
      <c r="B18" s="150" t="s">
        <v>11</v>
      </c>
      <c r="C18" s="151"/>
      <c r="D18" s="155"/>
      <c r="E18" s="155"/>
      <c r="F18" s="155"/>
      <c r="G18" s="155"/>
      <c r="H18" s="155"/>
      <c r="I18" s="155"/>
      <c r="J18" s="155"/>
      <c r="K18" s="155"/>
      <c r="L18" s="155"/>
      <c r="M18" s="159"/>
    </row>
    <row r="19" spans="2:17" x14ac:dyDescent="0.25">
      <c r="B19" s="150" t="s">
        <v>123</v>
      </c>
      <c r="C19" s="151"/>
      <c r="D19" s="155"/>
      <c r="E19" s="155"/>
      <c r="F19" s="155"/>
      <c r="G19" s="155"/>
      <c r="H19" s="155"/>
      <c r="I19" s="155"/>
      <c r="J19" s="155"/>
      <c r="K19" s="155"/>
      <c r="L19" s="155"/>
      <c r="M19" s="159"/>
    </row>
    <row r="20" spans="2:17" ht="15.75" thickBot="1" x14ac:dyDescent="0.3">
      <c r="B20" s="176" t="s">
        <v>86</v>
      </c>
      <c r="C20" s="177"/>
      <c r="D20" s="164"/>
      <c r="E20" s="164"/>
      <c r="F20" s="164"/>
      <c r="G20" s="164"/>
      <c r="H20" s="164"/>
      <c r="I20" s="164"/>
      <c r="J20" s="164"/>
      <c r="K20" s="164"/>
      <c r="L20" s="164"/>
      <c r="M20" s="179"/>
    </row>
    <row r="21" spans="2:17" ht="15" customHeight="1" x14ac:dyDescent="0.25">
      <c r="F21" s="166" t="str">
        <f>IF(OR(Paramètres!O2&lt;&gt;"",Paramètres!O6&lt;&gt;"",Paramètres!O10&lt;&gt;"",Paramètres!O14&lt;&gt;"",Paramètres!O18&lt;&gt;""),Paramètres!O2&amp;Paramètres!O6&amp;Paramètres!O10&amp;Paramètres!O14&amp;Paramètres!O18,"")</f>
        <v/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</row>
    <row r="22" spans="2:17" ht="15" customHeight="1" x14ac:dyDescent="0.25"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</row>
    <row r="23" spans="2:17" ht="15" customHeight="1" x14ac:dyDescent="0.25">
      <c r="B23" s="21"/>
      <c r="C23" s="21"/>
      <c r="D23" s="21"/>
      <c r="E23" s="21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</row>
    <row r="24" spans="2:17" x14ac:dyDescent="0.25">
      <c r="B24" s="21"/>
      <c r="C24" s="52" t="s">
        <v>56</v>
      </c>
      <c r="D24" s="178">
        <f>'Fiche de calcul'!B26</f>
        <v>0</v>
      </c>
      <c r="E24" s="178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</row>
    <row r="25" spans="2:17" x14ac:dyDescent="0.25">
      <c r="B25" s="21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</row>
    <row r="26" spans="2:17" ht="32.25" customHeight="1" x14ac:dyDescent="0.25">
      <c r="B26" s="21"/>
      <c r="C26" s="21"/>
      <c r="D26" s="21"/>
      <c r="E26" s="21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</row>
    <row r="27" spans="2:17" ht="15" customHeight="1" x14ac:dyDescent="0.25">
      <c r="B27" s="167" t="s">
        <v>124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9"/>
    </row>
    <row r="28" spans="2:17" x14ac:dyDescent="0.25"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2"/>
    </row>
    <row r="29" spans="2:17" x14ac:dyDescent="0.25"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5"/>
    </row>
    <row r="30" spans="2:17" x14ac:dyDescent="0.25">
      <c r="E30" s="21"/>
    </row>
    <row r="31" spans="2:17" ht="29.25" customHeight="1" x14ac:dyDescent="0.25">
      <c r="B31" s="53" t="s">
        <v>59</v>
      </c>
      <c r="C31" s="60" t="s">
        <v>60</v>
      </c>
      <c r="D31" s="60" t="s">
        <v>61</v>
      </c>
      <c r="E31" s="60" t="s">
        <v>62</v>
      </c>
      <c r="F31" s="60" t="s">
        <v>63</v>
      </c>
      <c r="G31" s="60" t="s">
        <v>64</v>
      </c>
      <c r="H31" s="60" t="s">
        <v>65</v>
      </c>
      <c r="I31" s="60" t="s">
        <v>66</v>
      </c>
      <c r="J31" s="60" t="s">
        <v>67</v>
      </c>
      <c r="K31" s="60" t="s">
        <v>68</v>
      </c>
    </row>
    <row r="32" spans="2:17" x14ac:dyDescent="0.25">
      <c r="B32" s="58" t="s">
        <v>43</v>
      </c>
      <c r="C32" s="59" t="str">
        <f>IF('Fiche de calcul'!C29=0,"",'Fiche de calcul'!C29)</f>
        <v/>
      </c>
      <c r="D32" s="90" t="str">
        <f>IF('Fiche de calcul'!D29=0,"",'Fiche de calcul'!D29)</f>
        <v/>
      </c>
      <c r="E32" s="90" t="str">
        <f>IF('Fiche de calcul'!E29=0,"",'Fiche de calcul'!E29)</f>
        <v/>
      </c>
      <c r="F32" s="90" t="str">
        <f>IF('Fiche de calcul'!F29=0,"",'Fiche de calcul'!F29)</f>
        <v/>
      </c>
      <c r="G32" s="90" t="str">
        <f>IF('Fiche de calcul'!G29=0,"",'Fiche de calcul'!G29)</f>
        <v/>
      </c>
      <c r="H32" s="90" t="str">
        <f>IF('Fiche de calcul'!H29=0,"",'Fiche de calcul'!H29)</f>
        <v/>
      </c>
      <c r="I32" s="90" t="str">
        <f>IF('Fiche de calcul'!I29=0,"",'Fiche de calcul'!I29)</f>
        <v/>
      </c>
      <c r="J32" s="90" t="str">
        <f>IF('Fiche de calcul'!J29=0,"",'Fiche de calcul'!J29)</f>
        <v/>
      </c>
      <c r="K32" s="90" t="str">
        <f>IF('Fiche de calcul'!K29=0,"",'Fiche de calcul'!K29)</f>
        <v/>
      </c>
    </row>
    <row r="33" spans="2:11" x14ac:dyDescent="0.25">
      <c r="B33" s="54" t="s">
        <v>44</v>
      </c>
      <c r="C33" s="55" t="str">
        <f>IF('Fiche de calcul'!C30=0,"",'Fiche de calcul'!C30)</f>
        <v/>
      </c>
      <c r="D33" s="91" t="str">
        <f>IF('Fiche de calcul'!D30=0,"",'Fiche de calcul'!D30)</f>
        <v/>
      </c>
      <c r="E33" s="91" t="str">
        <f>IF('Fiche de calcul'!E30=0,"",'Fiche de calcul'!E30)</f>
        <v/>
      </c>
      <c r="F33" s="55" t="str">
        <f>IF('Fiche de calcul'!F30=0,"",'Fiche de calcul'!F30)</f>
        <v/>
      </c>
      <c r="G33" s="91" t="str">
        <f>IF('Fiche de calcul'!G30=0,"",'Fiche de calcul'!G30)</f>
        <v/>
      </c>
      <c r="H33" s="91" t="str">
        <f>IF('Fiche de calcul'!H30=0,"",'Fiche de calcul'!H30)</f>
        <v/>
      </c>
      <c r="I33" s="55" t="str">
        <f>IF('Fiche de calcul'!I30=0,"",'Fiche de calcul'!I30)</f>
        <v/>
      </c>
      <c r="J33" s="91" t="str">
        <f>IF('Fiche de calcul'!J30=0,"",'Fiche de calcul'!J30)</f>
        <v/>
      </c>
      <c r="K33" s="91" t="str">
        <f>IF('Fiche de calcul'!K30=0,"",'Fiche de calcul'!K30)</f>
        <v/>
      </c>
    </row>
    <row r="34" spans="2:11" x14ac:dyDescent="0.25">
      <c r="B34" s="56" t="s">
        <v>45</v>
      </c>
      <c r="C34" s="57" t="str">
        <f>IF('Fiche de calcul'!C31=0,"",'Fiche de calcul'!C31)</f>
        <v/>
      </c>
      <c r="D34" s="57" t="str">
        <f>IF('Fiche de calcul'!D31=0,"",'Fiche de calcul'!D31)</f>
        <v/>
      </c>
      <c r="E34" s="57" t="str">
        <f>IF('Fiche de calcul'!E31=0,"",'Fiche de calcul'!E31)</f>
        <v/>
      </c>
      <c r="F34" s="57" t="str">
        <f>IF('Fiche de calcul'!F31=0,"",'Fiche de calcul'!F31)</f>
        <v/>
      </c>
      <c r="G34" s="57" t="str">
        <f>IF('Fiche de calcul'!G31=0,"",'Fiche de calcul'!G31)</f>
        <v/>
      </c>
      <c r="H34" s="57" t="str">
        <f>IF('Fiche de calcul'!H31=0,"",'Fiche de calcul'!H31)</f>
        <v/>
      </c>
      <c r="I34" s="57" t="str">
        <f>IF('Fiche de calcul'!I31=0,"",'Fiche de calcul'!I31)</f>
        <v/>
      </c>
      <c r="J34" s="57" t="str">
        <f>IF('Fiche de calcul'!J31=0,"",'Fiche de calcul'!J31)</f>
        <v/>
      </c>
      <c r="K34" s="57" t="str">
        <f>IF('Fiche de calcul'!K31=0,"",'Fiche de calcul'!K31)</f>
        <v/>
      </c>
    </row>
    <row r="36" spans="2:11" x14ac:dyDescent="0.25">
      <c r="B36" s="165" t="s">
        <v>136</v>
      </c>
      <c r="C36" s="165"/>
    </row>
  </sheetData>
  <sheetProtection password="E5BA" sheet="1" objects="1" scenarios="1" selectLockedCells="1"/>
  <mergeCells count="40">
    <mergeCell ref="B36:C36"/>
    <mergeCell ref="F21:Q26"/>
    <mergeCell ref="J18:K18"/>
    <mergeCell ref="B27:M29"/>
    <mergeCell ref="B18:C18"/>
    <mergeCell ref="B19:C19"/>
    <mergeCell ref="B20:C20"/>
    <mergeCell ref="D24:E24"/>
    <mergeCell ref="L20:M20"/>
    <mergeCell ref="F19:G19"/>
    <mergeCell ref="H19:I19"/>
    <mergeCell ref="J19:K19"/>
    <mergeCell ref="F20:G20"/>
    <mergeCell ref="H17:I17"/>
    <mergeCell ref="B5:M5"/>
    <mergeCell ref="H20:I20"/>
    <mergeCell ref="J20:K20"/>
    <mergeCell ref="F18:G18"/>
    <mergeCell ref="H18:I18"/>
    <mergeCell ref="L18:M18"/>
    <mergeCell ref="L19:M19"/>
    <mergeCell ref="D20:E20"/>
    <mergeCell ref="D18:E18"/>
    <mergeCell ref="D19:E19"/>
    <mergeCell ref="B6:M14"/>
    <mergeCell ref="B15:C15"/>
    <mergeCell ref="B16:C16"/>
    <mergeCell ref="B17:C17"/>
    <mergeCell ref="E1:M4"/>
    <mergeCell ref="H16:I16"/>
    <mergeCell ref="J16:K16"/>
    <mergeCell ref="J17:K17"/>
    <mergeCell ref="D15:G15"/>
    <mergeCell ref="F16:G16"/>
    <mergeCell ref="D17:E17"/>
    <mergeCell ref="H15:M15"/>
    <mergeCell ref="L17:M17"/>
    <mergeCell ref="L16:M16"/>
    <mergeCell ref="D16:E16"/>
    <mergeCell ref="F17:G17"/>
  </mergeCells>
  <dataValidations xWindow="441" yWindow="517" count="4">
    <dataValidation type="whole" allowBlank="1" showInputMessage="1" showErrorMessage="1" errorTitle="Erreur de saisie" error="choix non autorisé" prompt="Compris de 0 à 5" sqref="D18:D19 F18:F19 J18:J19 H18:H19 L18:L19">
      <formula1>0</formula1>
      <formula2>5</formula2>
    </dataValidation>
    <dataValidation type="whole" allowBlank="1" showInputMessage="1" showErrorMessage="1" errorTitle="Erreur saisie" error="saise incorrecte" prompt="compris entre 6 et 99" sqref="D17 F17 H17 J17 L17">
      <formula1>6</formula1>
      <formula2>99</formula2>
    </dataValidation>
    <dataValidation type="list" allowBlank="1" showInputMessage="1" showErrorMessage="1" sqref="F20 H20 J20 L20 D20">
      <formula1>FM</formula1>
    </dataValidation>
    <dataValidation type="list" showInputMessage="1" showErrorMessage="1" sqref="D15:G15">
      <formula1>Ville_Residence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B050"/>
  </sheetPr>
  <dimension ref="A1:D35"/>
  <sheetViews>
    <sheetView topLeftCell="A5" workbookViewId="0">
      <selection activeCell="E25" sqref="E25"/>
    </sheetView>
  </sheetViews>
  <sheetFormatPr baseColWidth="10" defaultColWidth="9.85546875" defaultRowHeight="15" x14ac:dyDescent="0.25"/>
  <cols>
    <col min="1" max="1" width="81" bestFit="1" customWidth="1"/>
    <col min="2" max="2" width="11.85546875" customWidth="1"/>
  </cols>
  <sheetData>
    <row r="1" spans="1:2" ht="15" customHeight="1" x14ac:dyDescent="0.25">
      <c r="A1" s="184" t="s">
        <v>129</v>
      </c>
      <c r="B1" s="187" t="s">
        <v>92</v>
      </c>
    </row>
    <row r="2" spans="1:2" ht="15" customHeight="1" x14ac:dyDescent="0.25">
      <c r="A2" s="185"/>
      <c r="B2" s="188"/>
    </row>
    <row r="3" spans="1:2" ht="15.75" customHeight="1" thickBot="1" x14ac:dyDescent="0.3">
      <c r="A3" s="185"/>
      <c r="B3" s="188"/>
    </row>
    <row r="4" spans="1:2" s="61" customFormat="1" ht="15.75" customHeight="1" thickBot="1" x14ac:dyDescent="0.3">
      <c r="A4" s="93" t="s">
        <v>4</v>
      </c>
      <c r="B4" s="100">
        <v>31</v>
      </c>
    </row>
    <row r="5" spans="1:2" s="61" customFormat="1" ht="15.75" customHeight="1" thickBot="1" x14ac:dyDescent="0.3">
      <c r="A5" s="190" t="s">
        <v>114</v>
      </c>
      <c r="B5" s="191"/>
    </row>
    <row r="6" spans="1:2" x14ac:dyDescent="0.25">
      <c r="A6" s="94" t="s">
        <v>0</v>
      </c>
      <c r="B6" s="101">
        <v>166</v>
      </c>
    </row>
    <row r="7" spans="1:2" ht="15.75" thickBot="1" x14ac:dyDescent="0.3">
      <c r="A7" s="95" t="s">
        <v>114</v>
      </c>
      <c r="B7" s="102">
        <v>230</v>
      </c>
    </row>
    <row r="8" spans="1:2" s="61" customFormat="1" ht="15.75" thickBot="1" x14ac:dyDescent="0.3">
      <c r="A8" s="190" t="s">
        <v>117</v>
      </c>
      <c r="B8" s="191"/>
    </row>
    <row r="9" spans="1:2" ht="25.5" x14ac:dyDescent="0.25">
      <c r="A9" s="96" t="s">
        <v>128</v>
      </c>
      <c r="B9" s="101">
        <v>551</v>
      </c>
    </row>
    <row r="10" spans="1:2" x14ac:dyDescent="0.25">
      <c r="A10" s="97" t="s">
        <v>115</v>
      </c>
      <c r="B10" s="103">
        <v>525</v>
      </c>
    </row>
    <row r="11" spans="1:2" x14ac:dyDescent="0.25">
      <c r="A11" s="95" t="s">
        <v>25</v>
      </c>
      <c r="B11" s="103">
        <f>B9+B10</f>
        <v>1076</v>
      </c>
    </row>
    <row r="12" spans="1:2" x14ac:dyDescent="0.25">
      <c r="A12" s="95" t="s">
        <v>1</v>
      </c>
      <c r="B12" s="103">
        <f>B9*2</f>
        <v>1102</v>
      </c>
    </row>
    <row r="13" spans="1:2" x14ac:dyDescent="0.25">
      <c r="A13" s="96" t="s">
        <v>137</v>
      </c>
      <c r="B13" s="103">
        <f>ROUNDUP(3*B9*0.95,0)</f>
        <v>1571</v>
      </c>
    </row>
    <row r="14" spans="1:2" ht="15.75" thickBot="1" x14ac:dyDescent="0.3">
      <c r="A14" s="95" t="s">
        <v>142</v>
      </c>
      <c r="B14" s="102">
        <f>ROUNDUP(4*B9*0.9,0)</f>
        <v>1984</v>
      </c>
    </row>
    <row r="15" spans="1:2" ht="15.75" thickBot="1" x14ac:dyDescent="0.3">
      <c r="A15" s="190" t="s">
        <v>21</v>
      </c>
      <c r="B15" s="191"/>
    </row>
    <row r="16" spans="1:2" s="61" customFormat="1" x14ac:dyDescent="0.25">
      <c r="A16" s="99" t="s">
        <v>127</v>
      </c>
      <c r="B16" s="101">
        <v>96</v>
      </c>
    </row>
    <row r="17" spans="1:4" ht="15.75" thickBot="1" x14ac:dyDescent="0.3">
      <c r="A17" s="98" t="s">
        <v>126</v>
      </c>
      <c r="B17" s="102">
        <v>43</v>
      </c>
    </row>
    <row r="18" spans="1:4" ht="15.75" thickBot="1" x14ac:dyDescent="0.3">
      <c r="A18" s="182"/>
      <c r="B18" s="183"/>
    </row>
    <row r="19" spans="1:4" ht="15" customHeight="1" x14ac:dyDescent="0.25">
      <c r="A19" s="184" t="s">
        <v>116</v>
      </c>
      <c r="B19" s="187" t="s">
        <v>92</v>
      </c>
    </row>
    <row r="20" spans="1:4" ht="15" customHeight="1" x14ac:dyDescent="0.25">
      <c r="A20" s="185"/>
      <c r="B20" s="188"/>
    </row>
    <row r="21" spans="1:4" ht="15.75" customHeight="1" thickBot="1" x14ac:dyDescent="0.3">
      <c r="A21" s="186"/>
      <c r="B21" s="189"/>
    </row>
    <row r="22" spans="1:4" ht="15.75" thickBot="1" x14ac:dyDescent="0.3">
      <c r="A22" s="65" t="s">
        <v>4</v>
      </c>
      <c r="B22" s="104">
        <v>31</v>
      </c>
    </row>
    <row r="23" spans="1:4" s="61" customFormat="1" ht="15.75" thickBot="1" x14ac:dyDescent="0.3">
      <c r="A23" s="180" t="s">
        <v>114</v>
      </c>
      <c r="B23" s="181"/>
    </row>
    <row r="24" spans="1:4" x14ac:dyDescent="0.25">
      <c r="A24" s="64" t="s">
        <v>0</v>
      </c>
      <c r="B24" s="105">
        <v>179</v>
      </c>
    </row>
    <row r="25" spans="1:4" ht="15.75" thickBot="1" x14ac:dyDescent="0.3">
      <c r="A25" s="62" t="s">
        <v>114</v>
      </c>
      <c r="B25" s="106">
        <v>254</v>
      </c>
    </row>
    <row r="26" spans="1:4" s="61" customFormat="1" ht="15.75" thickBot="1" x14ac:dyDescent="0.3">
      <c r="A26" s="180" t="s">
        <v>117</v>
      </c>
      <c r="B26" s="181"/>
    </row>
    <row r="27" spans="1:4" ht="26.25" x14ac:dyDescent="0.25">
      <c r="A27" s="92" t="s">
        <v>125</v>
      </c>
      <c r="B27" s="101">
        <v>729</v>
      </c>
    </row>
    <row r="28" spans="1:4" ht="15" customHeight="1" x14ac:dyDescent="0.25">
      <c r="A28" s="63" t="s">
        <v>115</v>
      </c>
      <c r="B28" s="107">
        <v>704</v>
      </c>
      <c r="C28" s="117"/>
      <c r="D28" s="117"/>
    </row>
    <row r="29" spans="1:4" x14ac:dyDescent="0.25">
      <c r="A29" s="62" t="s">
        <v>25</v>
      </c>
      <c r="B29" s="107">
        <f>B27+B28</f>
        <v>1433</v>
      </c>
      <c r="C29" s="117"/>
      <c r="D29" s="117"/>
    </row>
    <row r="30" spans="1:4" x14ac:dyDescent="0.25">
      <c r="A30" s="62" t="s">
        <v>1</v>
      </c>
      <c r="B30" s="107">
        <f>B27*2</f>
        <v>1458</v>
      </c>
      <c r="C30" s="117"/>
      <c r="D30" s="117"/>
    </row>
    <row r="31" spans="1:4" x14ac:dyDescent="0.25">
      <c r="A31" s="96" t="s">
        <v>137</v>
      </c>
      <c r="B31" s="107">
        <f>ROUNDUP(3*B27*0.95,0)</f>
        <v>2078</v>
      </c>
      <c r="C31" s="117"/>
      <c r="D31" s="117"/>
    </row>
    <row r="32" spans="1:4" ht="15.75" thickBot="1" x14ac:dyDescent="0.3">
      <c r="A32" s="95" t="s">
        <v>138</v>
      </c>
      <c r="B32" s="106">
        <f>ROUNDUP(4*B27*0.9,0)</f>
        <v>2625</v>
      </c>
      <c r="C32" s="117"/>
      <c r="D32" s="117"/>
    </row>
    <row r="33" spans="1:2" ht="15.75" thickBot="1" x14ac:dyDescent="0.3">
      <c r="A33" s="180" t="s">
        <v>21</v>
      </c>
      <c r="B33" s="181"/>
    </row>
    <row r="34" spans="1:2" s="61" customFormat="1" x14ac:dyDescent="0.25">
      <c r="A34" s="99" t="s">
        <v>127</v>
      </c>
      <c r="B34" s="105">
        <v>127</v>
      </c>
    </row>
    <row r="35" spans="1:2" ht="15.75" thickBot="1" x14ac:dyDescent="0.3">
      <c r="A35" s="98" t="s">
        <v>126</v>
      </c>
      <c r="B35" s="106">
        <v>57</v>
      </c>
    </row>
  </sheetData>
  <sheetProtection password="E5BA" sheet="1" objects="1" scenarios="1" selectLockedCells="1"/>
  <mergeCells count="11">
    <mergeCell ref="A26:B26"/>
    <mergeCell ref="A33:B33"/>
    <mergeCell ref="A18:B18"/>
    <mergeCell ref="A1:A3"/>
    <mergeCell ref="A19:A21"/>
    <mergeCell ref="B19:B21"/>
    <mergeCell ref="B1:B3"/>
    <mergeCell ref="A5:B5"/>
    <mergeCell ref="A8:B8"/>
    <mergeCell ref="A15:B15"/>
    <mergeCell ref="A23:B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B12"/>
  <sheetViews>
    <sheetView workbookViewId="0">
      <selection activeCell="B4" sqref="B4"/>
    </sheetView>
  </sheetViews>
  <sheetFormatPr baseColWidth="10" defaultRowHeight="15" x14ac:dyDescent="0.25"/>
  <cols>
    <col min="1" max="1" width="23.7109375" bestFit="1" customWidth="1"/>
    <col min="2" max="2" width="130" bestFit="1" customWidth="1"/>
  </cols>
  <sheetData>
    <row r="1" spans="1:2" x14ac:dyDescent="0.25">
      <c r="A1" s="108" t="s">
        <v>131</v>
      </c>
      <c r="B1" s="108" t="s">
        <v>132</v>
      </c>
    </row>
    <row r="2" spans="1:2" ht="75" x14ac:dyDescent="0.25">
      <c r="A2" s="109" t="s">
        <v>133</v>
      </c>
      <c r="B2" s="111" t="s">
        <v>134</v>
      </c>
    </row>
    <row r="3" spans="1:2" ht="45" x14ac:dyDescent="0.25">
      <c r="A3" s="116" t="s">
        <v>140</v>
      </c>
      <c r="B3" s="115" t="s">
        <v>141</v>
      </c>
    </row>
    <row r="4" spans="1:2" x14ac:dyDescent="0.25">
      <c r="A4" s="110"/>
      <c r="B4" s="112"/>
    </row>
    <row r="5" spans="1:2" x14ac:dyDescent="0.25">
      <c r="A5" s="110"/>
      <c r="B5" s="112"/>
    </row>
    <row r="6" spans="1:2" x14ac:dyDescent="0.25">
      <c r="A6" s="110"/>
      <c r="B6" s="112"/>
    </row>
    <row r="7" spans="1:2" x14ac:dyDescent="0.25">
      <c r="A7" s="110"/>
      <c r="B7" s="112"/>
    </row>
    <row r="8" spans="1:2" x14ac:dyDescent="0.25">
      <c r="A8" s="110"/>
      <c r="B8" s="112"/>
    </row>
    <row r="9" spans="1:2" x14ac:dyDescent="0.25">
      <c r="A9" s="110"/>
      <c r="B9" s="112"/>
    </row>
    <row r="10" spans="1:2" x14ac:dyDescent="0.25">
      <c r="A10" s="38"/>
      <c r="B10" s="38"/>
    </row>
    <row r="11" spans="1:2" x14ac:dyDescent="0.25">
      <c r="A11" s="38"/>
      <c r="B11" s="38"/>
    </row>
    <row r="12" spans="1:2" x14ac:dyDescent="0.25">
      <c r="A12" s="38"/>
      <c r="B12" s="38"/>
    </row>
  </sheetData>
  <sheetProtection password="E5BA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47</vt:i4>
      </vt:variant>
    </vt:vector>
  </HeadingPairs>
  <TitlesOfParts>
    <vt:vector size="52" baseType="lpstr">
      <vt:lpstr>Fiche de calcul</vt:lpstr>
      <vt:lpstr>Paramètres</vt:lpstr>
      <vt:lpstr>calcul du tarif d'inscription</vt:lpstr>
      <vt:lpstr>Tarifs</vt:lpstr>
      <vt:lpstr>Liste versions</vt:lpstr>
      <vt:lpstr>Adhesion</vt:lpstr>
      <vt:lpstr>Adhesion_Hors_Thouare</vt:lpstr>
      <vt:lpstr>Adhesion_Thouare</vt:lpstr>
      <vt:lpstr>Erreur_Eleve1</vt:lpstr>
      <vt:lpstr>Erreur_Eleve2</vt:lpstr>
      <vt:lpstr>Erreur_Eleve3</vt:lpstr>
      <vt:lpstr>Erreur_Eleve4</vt:lpstr>
      <vt:lpstr>Erreur_Eleve5</vt:lpstr>
      <vt:lpstr>Erreur_Ville</vt:lpstr>
      <vt:lpstr>FM</vt:lpstr>
      <vt:lpstr>Indice_Residence</vt:lpstr>
      <vt:lpstr>Liste_FM</vt:lpstr>
      <vt:lpstr>Liste_Pratique_Col</vt:lpstr>
      <vt:lpstr>Liste_Pratique_Individuelle</vt:lpstr>
      <vt:lpstr>Nb_Prat_individuelle</vt:lpstr>
      <vt:lpstr>Ristourne</vt:lpstr>
      <vt:lpstr>Tarif_Adhesion_N_Thouare</vt:lpstr>
      <vt:lpstr>Tarif_Adhesion_Thouare</vt:lpstr>
      <vt:lpstr>Tarif_Eveil_N_Thouare</vt:lpstr>
      <vt:lpstr>Tarif_Eveil_Thouare</vt:lpstr>
      <vt:lpstr>Tarif_FM_N_Thouare</vt:lpstr>
      <vt:lpstr>Tarif_FM_Thouare</vt:lpstr>
      <vt:lpstr>Tarif_Inst_FM_N_Thouare</vt:lpstr>
      <vt:lpstr>Tarif_Inst_FM_Thouare</vt:lpstr>
      <vt:lpstr>Tarif_Inst_seul_N_Thouare</vt:lpstr>
      <vt:lpstr>Tarif_Inst_seul_Thouare</vt:lpstr>
      <vt:lpstr>Tarif_Prat_Coll_seule_N_Thouare</vt:lpstr>
      <vt:lpstr>Tarif_Prat_Coll_seule_Thouare</vt:lpstr>
      <vt:lpstr>Tarif_Prat_Coll_Suppl_N_Thouare</vt:lpstr>
      <vt:lpstr>Tarif_Prat_Coll_Suppl_Thouare</vt:lpstr>
      <vt:lpstr>Tarifs_Non_Thoureens</vt:lpstr>
      <vt:lpstr>Trad_Err_Eleve1</vt:lpstr>
      <vt:lpstr>Trad_Err_Eleve2</vt:lpstr>
      <vt:lpstr>Trad_Err_Eleve3</vt:lpstr>
      <vt:lpstr>Trad_Err_Eleve4</vt:lpstr>
      <vt:lpstr>Trad_Err_Eleve5</vt:lpstr>
      <vt:lpstr>Trad_FM</vt:lpstr>
      <vt:lpstr>Trad_Residence</vt:lpstr>
      <vt:lpstr>Trad_Tarif_Ens_NonThouareens</vt:lpstr>
      <vt:lpstr>Trad_Tarif_Ens_Thouareens</vt:lpstr>
      <vt:lpstr>Trad_Tarif_FM_NonThouareen</vt:lpstr>
      <vt:lpstr>Trad_Tarif_FM_Thouareen</vt:lpstr>
      <vt:lpstr>Trad_Tarif_Instru_NonThouareen</vt:lpstr>
      <vt:lpstr>Trad_Tarif_Instru_Thouareen</vt:lpstr>
      <vt:lpstr>VAl_Inscription</vt:lpstr>
      <vt:lpstr>Val_Pratique_Col</vt:lpstr>
      <vt:lpstr>Ville_Residence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</cp:lastModifiedBy>
  <dcterms:created xsi:type="dcterms:W3CDTF">2020-04-21T16:54:05Z</dcterms:created>
  <dcterms:modified xsi:type="dcterms:W3CDTF">2020-05-25T21:42:22Z</dcterms:modified>
</cp:coreProperties>
</file>